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l\Desktop\July Board Materials\"/>
    </mc:Choice>
  </mc:AlternateContent>
  <bookViews>
    <workbookView xWindow="0" yWindow="0" windowWidth="21312" windowHeight="7872"/>
  </bookViews>
  <sheets>
    <sheet name="Balance YOY" sheetId="1" r:id="rId1"/>
    <sheet name="P&amp;L - Budg to Actual" sheetId="2" r:id="rId2"/>
    <sheet name="Contributed Revenue" sheetId="3" r:id="rId3"/>
    <sheet name="Ticket Sales" sheetId="4" r:id="rId4"/>
  </sheets>
  <externalReferences>
    <externalReference r:id="rId5"/>
    <externalReference r:id="rId6"/>
  </externalReferences>
  <definedNames>
    <definedName name="Erase_me" localSheetId="3">'[1]Report 2006-07'!#REF!</definedName>
    <definedName name="Erase_me">'[1]Report 2006-07'!#REF!</definedName>
    <definedName name="FY00" localSheetId="3">#REF!</definedName>
    <definedName name="FY00">#REF!</definedName>
    <definedName name="FY1999_projections" localSheetId="3">#REF!</definedName>
    <definedName name="FY1999_projections">#REF!</definedName>
    <definedName name="FY2000_projections" localSheetId="3">#REF!</definedName>
    <definedName name="FY2000_projections">#REF!</definedName>
    <definedName name="fy99_forecast_bagleywright" localSheetId="3">#REF!</definedName>
    <definedName name="fy99_forecast_bagleywright">#REF!</definedName>
    <definedName name="fy99_forecast_everything" localSheetId="3">#REF!</definedName>
    <definedName name="fy99_forecast_everything">#REF!</definedName>
    <definedName name="fy99_forecast_leo_k" localSheetId="3">#REF!</definedName>
    <definedName name="fy99_forecast_leo_k">#REF!</definedName>
    <definedName name="fy99_forecast_newplays" localSheetId="3">#REF!</definedName>
    <definedName name="fy99_forecast_newplays">#REF!</definedName>
    <definedName name="_xlnm.Print_Area" localSheetId="3">'Ticket Sales'!$A$1:$Q$26</definedName>
    <definedName name="_xlnm.Print_Area">#REF!</definedName>
    <definedName name="_xlnm.Print_Titles" localSheetId="0">'Balance YOY'!$A:$F,'Balance YOY'!$1:$2</definedName>
    <definedName name="_xlnm.Print_Titles" localSheetId="1">'P&amp;L - Budg to Actual'!$A:$G,'P&amp;L - Budg to Actual'!$1:$2</definedName>
    <definedName name="QB_COLUMN_59200" localSheetId="0" hidden="1">'Balance YOY'!$G$2</definedName>
    <definedName name="QB_COLUMN_59200" localSheetId="1" hidden="1">'P&amp;L - Budg to Actual'!$H$2</definedName>
    <definedName name="QB_COLUMN_61210" localSheetId="0" hidden="1">'Balance YOY'!$I$2</definedName>
    <definedName name="QB_COLUMN_62230" localSheetId="1" hidden="1">'P&amp;L - Budg to Actual'!$J$2</definedName>
    <definedName name="QB_COLUMN_63620" localSheetId="0" hidden="1">'Balance YOY'!$K$2</definedName>
    <definedName name="QB_COLUMN_64420" localSheetId="1" hidden="1">'P&amp;L - Budg to Actual'!#REF!</definedName>
    <definedName name="QB_COLUMN_64450" localSheetId="1" hidden="1">'P&amp;L - Budg to Actual'!$N$2</definedName>
    <definedName name="QB_COLUMN_76210" localSheetId="1" hidden="1">'P&amp;L - Budg to Actual'!#REF!</definedName>
    <definedName name="QB_COLUMN_76240" localSheetId="1" hidden="1">'P&amp;L - Budg to Actual'!$L$2</definedName>
    <definedName name="QB_COLUMN_76260" localSheetId="1" hidden="1">'P&amp;L - Budg to Actual'!$P$2</definedName>
    <definedName name="QB_DATA_0" localSheetId="0" hidden="1">'Balance YOY'!$6:$6,'Balance YOY'!$7:$7,'Balance YOY'!$8:$8,'Balance YOY'!$9:$9,'Balance YOY'!$12:$12,'Balance YOY'!$13:$13,'Balance YOY'!$14:$14,'Balance YOY'!$15:$15,'Balance YOY'!$18:$18,'Balance YOY'!$19:$19,'Balance YOY'!$20:$20,'Balance YOY'!$21:$21,'Balance YOY'!$27:$27,'Balance YOY'!$28:$28,'Balance YOY'!$31:$31,'Balance YOY'!$32:$32</definedName>
    <definedName name="QB_DATA_0" localSheetId="1" hidden="1">'P&amp;L - Budg to Actual'!$6:$6,'P&amp;L - Budg to Actual'!$7:$7,'P&amp;L - Budg to Actual'!$8:$8,'P&amp;L - Budg to Actual'!$9:$9,'P&amp;L - Budg to Actual'!$10:$10,'P&amp;L - Budg to Actual'!$11:$11,'P&amp;L - Budg to Actual'!$12:$12,'P&amp;L - Budg to Actual'!$15:$15,'P&amp;L - Budg to Actual'!$16:$16,'P&amp;L - Budg to Actual'!$17:$17,'P&amp;L - Budg to Actual'!$18:$18,'P&amp;L - Budg to Actual'!$19:$19,'P&amp;L - Budg to Actual'!$22:$22,'P&amp;L - Budg to Actual'!$23:$23,'P&amp;L - Budg to Actual'!$24:$24,'P&amp;L - Budg to Actual'!$25:$25</definedName>
    <definedName name="QB_DATA_1" localSheetId="0" hidden="1">'Balance YOY'!$35:$35,'Balance YOY'!$36:$36,'Balance YOY'!$39:$39,'Balance YOY'!$40:$40,'Balance YOY'!$42:$42,'Balance YOY'!$46:$46,'Balance YOY'!$47:$47,'Balance YOY'!$54:$54,'Balance YOY'!$57:$57,'Balance YOY'!$58:$58,'Balance YOY'!$59:$59,'Balance YOY'!$62:$62,'Balance YOY'!$63:$63,'Balance YOY'!$64:$64,'Balance YOY'!$65:$65,'Balance YOY'!$67:$67</definedName>
    <definedName name="QB_DATA_1" localSheetId="1" hidden="1">'P&amp;L - Budg to Actual'!$26:$26,'P&amp;L - Budg to Actual'!$27:$27,'P&amp;L - Budg to Actual'!$28:$28,'P&amp;L - Budg to Actual'!$29:$29,'P&amp;L - Budg to Actual'!$30:$30,'P&amp;L - Budg to Actual'!$31:$31,'P&amp;L - Budg to Actual'!$33:$33,'P&amp;L - Budg to Actual'!$38:$38,'P&amp;L - Budg to Actual'!$39:$39,'P&amp;L - Budg to Actual'!$40:$40,'P&amp;L - Budg to Actual'!$41:$41,'P&amp;L - Budg to Actual'!$42:$42,'P&amp;L - Budg to Actual'!$43:$43,'P&amp;L - Budg to Actual'!$46:$46,'P&amp;L - Budg to Actual'!$47:$47,'P&amp;L - Budg to Actual'!$48:$48</definedName>
    <definedName name="QB_DATA_2" localSheetId="0" hidden="1">'Balance YOY'!$68:$68,'Balance YOY'!$69:$69,'Balance YOY'!$70:$70,'Balance YOY'!$71:$71,'Balance YOY'!$76:$76,'Balance YOY'!$77:$77,'Balance YOY'!$81:$81,'Balance YOY'!$82:$82,'Balance YOY'!$83:$83</definedName>
    <definedName name="QB_DATA_2" localSheetId="1" hidden="1">'P&amp;L - Budg to Actual'!$49:$49,'P&amp;L - Budg to Actual'!$50:$50,'P&amp;L - Budg to Actual'!$53:$53,'P&amp;L - Budg to Actual'!$55:$55,'P&amp;L - Budg to Actual'!$56:$56,'P&amp;L - Budg to Actual'!$59:$59,'P&amp;L - Budg to Actual'!$60:$60,'P&amp;L - Budg to Actual'!$61:$61,'P&amp;L - Budg to Actual'!$62:$62,'P&amp;L - Budg to Actual'!$63:$63,'P&amp;L - Budg to Actual'!$64:$64,'P&amp;L - Budg to Actual'!$65:$65,'P&amp;L - Budg to Actual'!$66:$66,'P&amp;L - Budg to Actual'!$67:$67,'P&amp;L - Budg to Actual'!$68:$68,'P&amp;L - Budg to Actual'!$69:$69</definedName>
    <definedName name="QB_DATA_3" localSheetId="1" hidden="1">'P&amp;L - Budg to Actual'!$70:$70,'P&amp;L - Budg to Actual'!$72:$72,'P&amp;L - Budg to Actual'!$73:$73,'P&amp;L - Budg to Actual'!$74:$74,'P&amp;L - Budg to Actual'!$76:$76,'P&amp;L - Budg to Actual'!$77:$77,'P&amp;L - Budg to Actual'!$79:$79,'P&amp;L - Budg to Actual'!$80:$80,'P&amp;L - Budg to Actual'!$81:$81,'P&amp;L - Budg to Actual'!$82:$82,'P&amp;L - Budg to Actual'!$83:$83,'P&amp;L - Budg to Actual'!$84:$84,'P&amp;L - Budg to Actual'!$85:$85,'P&amp;L - Budg to Actual'!$87:$87,'P&amp;L - Budg to Actual'!$88:$88,'P&amp;L - Budg to Actual'!$90:$90</definedName>
    <definedName name="QB_DATA_4" localSheetId="1" hidden="1">'P&amp;L - Budg to Actual'!$93:$93,'P&amp;L - Budg to Actual'!$94:$94,'P&amp;L - Budg to Actual'!$95:$95,'P&amp;L - Budg to Actual'!$96:$96,'P&amp;L - Budg to Actual'!$97:$97,'P&amp;L - Budg to Actual'!$99:$99,'P&amp;L - Budg to Actual'!$100:$100,'P&amp;L - Budg to Actual'!$104:$104,'P&amp;L - Budg to Actual'!$106:$106,'P&amp;L - Budg to Actual'!$107:$107,'P&amp;L - Budg to Actual'!$109:$109,'P&amp;L - Budg to Actual'!$110:$110,'P&amp;L - Budg to Actual'!$112:$112,'P&amp;L - Budg to Actual'!$113:$113,'P&amp;L - Budg to Actual'!$115:$115,'P&amp;L - Budg to Actual'!$116:$116</definedName>
    <definedName name="QB_DATA_5" localSheetId="1" hidden="1">'P&amp;L - Budg to Actual'!$117:$117,'P&amp;L - Budg to Actual'!$118:$118,'P&amp;L - Budg to Actual'!$119:$119,'P&amp;L - Budg to Actual'!$120:$120,'P&amp;L - Budg to Actual'!$121:$121,'P&amp;L - Budg to Actual'!$122:$122,'P&amp;L - Budg to Actual'!$123:$123,'P&amp;L - Budg to Actual'!$124:$124,'P&amp;L - Budg to Actual'!$125:$125,'P&amp;L - Budg to Actual'!$126:$126,'P&amp;L - Budg to Actual'!$132:$132,'P&amp;L - Budg to Actual'!$133:$133,'P&amp;L - Budg to Actual'!$134:$134</definedName>
    <definedName name="QB_FORMULA_0" localSheetId="0" hidden="1">'Balance YOY'!$K$6,'Balance YOY'!$K$7,'Balance YOY'!$K$8,'Balance YOY'!$K$9,'Balance YOY'!$G$10,'Balance YOY'!$I$10,'Balance YOY'!$K$10,'Balance YOY'!$K$12,'Balance YOY'!$K$13,'Balance YOY'!$K$14,'Balance YOY'!$K$15,'Balance YOY'!$G$16,'Balance YOY'!$I$16,'Balance YOY'!$K$16,'Balance YOY'!$K$18,'Balance YOY'!$K$19</definedName>
    <definedName name="QB_FORMULA_0" localSheetId="1" hidden="1">'P&amp;L - Budg to Actual'!#REF!,'P&amp;L - Budg to Actual'!$N$6,'P&amp;L - Budg to Actual'!#REF!,'P&amp;L - Budg to Actual'!$N$7,'P&amp;L - Budg to Actual'!#REF!,'P&amp;L - Budg to Actual'!$N$8,'P&amp;L - Budg to Actual'!#REF!,'P&amp;L - Budg to Actual'!$N$9,'P&amp;L - Budg to Actual'!#REF!,'P&amp;L - Budg to Actual'!$N$10,'P&amp;L - Budg to Actual'!#REF!,'P&amp;L - Budg to Actual'!$N$11,'P&amp;L - Budg to Actual'!#REF!,'P&amp;L - Budg to Actual'!$N$12,'P&amp;L - Budg to Actual'!$H$13,'P&amp;L - Budg to Actual'!#REF!</definedName>
    <definedName name="QB_FORMULA_1" localSheetId="0" hidden="1">'Balance YOY'!$K$20,'Balance YOY'!$K$21,'Balance YOY'!$G$22,'Balance YOY'!$I$22,'Balance YOY'!$K$22,'Balance YOY'!$G$23,'Balance YOY'!$I$23,'Balance YOY'!$K$23,'Balance YOY'!$K$27,'Balance YOY'!$K$28,'Balance YOY'!$G$29,'Balance YOY'!$I$29,'Balance YOY'!$K$29,'Balance YOY'!$K$31,'Balance YOY'!$K$32,'Balance YOY'!$G$33</definedName>
    <definedName name="QB_FORMULA_1" localSheetId="1" hidden="1">'P&amp;L - Budg to Actual'!#REF!,'P&amp;L - Budg to Actual'!$J$13,'P&amp;L - Budg to Actual'!$L$13,'P&amp;L - Budg to Actual'!$N$13,'P&amp;L - Budg to Actual'!$P$13,'P&amp;L - Budg to Actual'!#REF!,'P&amp;L - Budg to Actual'!$N$15,'P&amp;L - Budg to Actual'!#REF!,'P&amp;L - Budg to Actual'!$N$16,'P&amp;L - Budg to Actual'!#REF!,'P&amp;L - Budg to Actual'!$N$17,'P&amp;L - Budg to Actual'!#REF!,'P&amp;L - Budg to Actual'!$N$18,'P&amp;L - Budg to Actual'!#REF!,'P&amp;L - Budg to Actual'!$N$19,'P&amp;L - Budg to Actual'!$H$20</definedName>
    <definedName name="QB_FORMULA_10" localSheetId="1" hidden="1">'P&amp;L - Budg to Actual'!$N$73,'P&amp;L - Budg to Actual'!#REF!,'P&amp;L - Budg to Actual'!$N$74,'P&amp;L - Budg to Actual'!#REF!,'P&amp;L - Budg to Actual'!$N$77,'P&amp;L - Budg to Actual'!$H$78,'P&amp;L - Budg to Actual'!#REF!,'P&amp;L - Budg to Actual'!#REF!,'P&amp;L - Budg to Actual'!$J$78,'P&amp;L - Budg to Actual'!$L$78,'P&amp;L - Budg to Actual'!$N$78,'P&amp;L - Budg to Actual'!$P$78,'P&amp;L - Budg to Actual'!#REF!,'P&amp;L - Budg to Actual'!$N$79,'P&amp;L - Budg to Actual'!#REF!,'P&amp;L - Budg to Actual'!$N$80</definedName>
    <definedName name="QB_FORMULA_11" localSheetId="1" hidden="1">'P&amp;L - Budg to Actual'!#REF!,'P&amp;L - Budg to Actual'!$N$81,'P&amp;L - Budg to Actual'!#REF!,'P&amp;L - Budg to Actual'!$N$82,'P&amp;L - Budg to Actual'!#REF!,'P&amp;L - Budg to Actual'!$N$83,'P&amp;L - Budg to Actual'!$N$84,'P&amp;L - Budg to Actual'!#REF!,'P&amp;L - Budg to Actual'!$N$85,'P&amp;L - Budg to Actual'!$N$87,'P&amp;L - Budg to Actual'!#REF!,'P&amp;L - Budg to Actual'!$N$88,'P&amp;L - Budg to Actual'!$H$89,'P&amp;L - Budg to Actual'!#REF!,'P&amp;L - Budg to Actual'!#REF!,'P&amp;L - Budg to Actual'!$J$89</definedName>
    <definedName name="QB_FORMULA_12" localSheetId="1" hidden="1">'P&amp;L - Budg to Actual'!$L$89,'P&amp;L - Budg to Actual'!$N$89,'P&amp;L - Budg to Actual'!$P$89,'P&amp;L - Budg to Actual'!$N$90,'P&amp;L - Budg to Actual'!$H$91,'P&amp;L - Budg to Actual'!#REF!,'P&amp;L - Budg to Actual'!#REF!,'P&amp;L - Budg to Actual'!$J$91,'P&amp;L - Budg to Actual'!$L$91,'P&amp;L - Budg to Actual'!$N$91,'P&amp;L - Budg to Actual'!$P$91,'P&amp;L - Budg to Actual'!#REF!,'P&amp;L - Budg to Actual'!$N$93,'P&amp;L - Budg to Actual'!#REF!,'P&amp;L - Budg to Actual'!$N$94,'P&amp;L - Budg to Actual'!#REF!</definedName>
    <definedName name="QB_FORMULA_13" localSheetId="1" hidden="1">'P&amp;L - Budg to Actual'!$N$95,'P&amp;L - Budg to Actual'!#REF!,'P&amp;L - Budg to Actual'!$N$96,'P&amp;L - Budg to Actual'!#REF!,'P&amp;L - Budg to Actual'!$N$97,'P&amp;L - Budg to Actual'!#REF!,'P&amp;L - Budg to Actual'!$N$100,'P&amp;L - Budg to Actual'!$H$101,'P&amp;L - Budg to Actual'!#REF!,'P&amp;L - Budg to Actual'!#REF!,'P&amp;L - Budg to Actual'!$J$101,'P&amp;L - Budg to Actual'!$L$101,'P&amp;L - Budg to Actual'!$N$101,'P&amp;L - Budg to Actual'!$P$101,'P&amp;L - Budg to Actual'!$H$102,'P&amp;L - Budg to Actual'!#REF!</definedName>
    <definedName name="QB_FORMULA_14" localSheetId="1" hidden="1">'P&amp;L - Budg to Actual'!#REF!,'P&amp;L - Budg to Actual'!$J$102,'P&amp;L - Budg to Actual'!$L$102,'P&amp;L - Budg to Actual'!$N$102,'P&amp;L - Budg to Actual'!$P$102,'P&amp;L - Budg to Actual'!#REF!,'P&amp;L - Budg to Actual'!$N$104,'P&amp;L - Budg to Actual'!#REF!,'P&amp;L - Budg to Actual'!$N$106,'P&amp;L - Budg to Actual'!#REF!,'P&amp;L - Budg to Actual'!$N$107,'P&amp;L - Budg to Actual'!$H$108,'P&amp;L - Budg to Actual'!#REF!,'P&amp;L - Budg to Actual'!#REF!,'P&amp;L - Budg to Actual'!$J$108,'P&amp;L - Budg to Actual'!$L$108</definedName>
    <definedName name="QB_FORMULA_15" localSheetId="1" hidden="1">'P&amp;L - Budg to Actual'!$N$108,'P&amp;L - Budg to Actual'!$P$108,'P&amp;L - Budg to Actual'!#REF!,'P&amp;L - Budg to Actual'!$N$109,'P&amp;L - Budg to Actual'!#REF!,'P&amp;L - Budg to Actual'!$N$110,'P&amp;L - Budg to Actual'!#REF!,'P&amp;L - Budg to Actual'!$N$113,'P&amp;L - Budg to Actual'!$H$114,'P&amp;L - Budg to Actual'!#REF!,'P&amp;L - Budg to Actual'!#REF!,'P&amp;L - Budg to Actual'!$J$114,'P&amp;L - Budg to Actual'!$L$114,'P&amp;L - Budg to Actual'!$N$114,'P&amp;L - Budg to Actual'!$P$114,'P&amp;L - Budg to Actual'!#REF!</definedName>
    <definedName name="QB_FORMULA_16" localSheetId="1" hidden="1">'P&amp;L - Budg to Actual'!$N$116,'P&amp;L - Budg to Actual'!#REF!,'P&amp;L - Budg to Actual'!$N$117,'P&amp;L - Budg to Actual'!#REF!,'P&amp;L - Budg to Actual'!$N$118,'P&amp;L - Budg to Actual'!#REF!,'P&amp;L - Budg to Actual'!$N$119,'P&amp;L - Budg to Actual'!#REF!,'P&amp;L - Budg to Actual'!$N$120,'P&amp;L - Budg to Actual'!#REF!,'P&amp;L - Budg to Actual'!$N$121,'P&amp;L - Budg to Actual'!#REF!,'P&amp;L - Budg to Actual'!$N$122,'P&amp;L - Budg to Actual'!#REF!,'P&amp;L - Budg to Actual'!$N$123,'P&amp;L - Budg to Actual'!#REF!</definedName>
    <definedName name="QB_FORMULA_17" localSheetId="1" hidden="1">'P&amp;L - Budg to Actual'!$N$126,'P&amp;L - Budg to Actual'!$H$127,'P&amp;L - Budg to Actual'!#REF!,'P&amp;L - Budg to Actual'!#REF!,'P&amp;L - Budg to Actual'!$J$127,'P&amp;L - Budg to Actual'!$L$127,'P&amp;L - Budg to Actual'!$N$127,'P&amp;L - Budg to Actual'!$P$127,'P&amp;L - Budg to Actual'!$H$128,'P&amp;L - Budg to Actual'!#REF!,'P&amp;L - Budg to Actual'!#REF!,'P&amp;L - Budg to Actual'!$J$128,'P&amp;L - Budg to Actual'!$L$128,'P&amp;L - Budg to Actual'!$N$128,'P&amp;L - Budg to Actual'!$P$128,'P&amp;L - Budg to Actual'!$H$129</definedName>
    <definedName name="QB_FORMULA_18" localSheetId="1" hidden="1">'P&amp;L - Budg to Actual'!#REF!,'P&amp;L - Budg to Actual'!#REF!,'P&amp;L - Budg to Actual'!$J$129,'P&amp;L - Budg to Actual'!$L$129,'P&amp;L - Budg to Actual'!$N$129,'P&amp;L - Budg to Actual'!$P$129,'P&amp;L - Budg to Actual'!#REF!,'P&amp;L - Budg to Actual'!$N$132,'P&amp;L - Budg to Actual'!#REF!,'P&amp;L - Budg to Actual'!$N$133,'P&amp;L - Budg to Actual'!#REF!,'P&amp;L - Budg to Actual'!$N$134,'P&amp;L - Budg to Actual'!$H$135,'P&amp;L - Budg to Actual'!#REF!,'P&amp;L - Budg to Actual'!#REF!,'P&amp;L - Budg to Actual'!$J$135</definedName>
    <definedName name="QB_FORMULA_19" localSheetId="1" hidden="1">'P&amp;L - Budg to Actual'!$L$135,'P&amp;L - Budg to Actual'!$N$135,'P&amp;L - Budg to Actual'!$P$135,'P&amp;L - Budg to Actual'!$H$136,'P&amp;L - Budg to Actual'!#REF!,'P&amp;L - Budg to Actual'!#REF!,'P&amp;L - Budg to Actual'!$J$136,'P&amp;L - Budg to Actual'!$L$136,'P&amp;L - Budg to Actual'!$N$136,'P&amp;L - Budg to Actual'!$P$136,'P&amp;L - Budg to Actual'!$H$137,'P&amp;L - Budg to Actual'!#REF!,'P&amp;L - Budg to Actual'!#REF!,'P&amp;L - Budg to Actual'!$J$137,'P&amp;L - Budg to Actual'!$L$137,'P&amp;L - Budg to Actual'!$N$137</definedName>
    <definedName name="QB_FORMULA_2" localSheetId="0" hidden="1">'Balance YOY'!$I$33,'Balance YOY'!$K$33,'Balance YOY'!$K$35,'Balance YOY'!$K$36,'Balance YOY'!$G$37,'Balance YOY'!$I$37,'Balance YOY'!$K$37,'Balance YOY'!$K$39,'Balance YOY'!$K$40,'Balance YOY'!$G$41,'Balance YOY'!$I$41,'Balance YOY'!$K$41,'Balance YOY'!$K$42,'Balance YOY'!$G$43,'Balance YOY'!$I$43,'Balance YOY'!$K$43</definedName>
    <definedName name="QB_FORMULA_2" localSheetId="1" hidden="1">'P&amp;L - Budg to Actual'!#REF!,'P&amp;L - Budg to Actual'!#REF!,'P&amp;L - Budg to Actual'!$J$20,'P&amp;L - Budg to Actual'!$L$20,'P&amp;L - Budg to Actual'!$N$20,'P&amp;L - Budg to Actual'!$P$20,'P&amp;L - Budg to Actual'!#REF!,'P&amp;L - Budg to Actual'!$N$22,'P&amp;L - Budg to Actual'!#REF!,'P&amp;L - Budg to Actual'!$N$23,'P&amp;L - Budg to Actual'!$N$24,'P&amp;L - Budg to Actual'!#REF!,'P&amp;L - Budg to Actual'!$N$25,'P&amp;L - Budg to Actual'!#REF!,'P&amp;L - Budg to Actual'!$N$26,'P&amp;L - Budg to Actual'!#REF!</definedName>
    <definedName name="QB_FORMULA_20" localSheetId="1" hidden="1">'P&amp;L - Budg to Actual'!$P$137</definedName>
    <definedName name="QB_FORMULA_3" localSheetId="0" hidden="1">'Balance YOY'!$G$44,'Balance YOY'!$I$44,'Balance YOY'!$K$44,'Balance YOY'!$K$46,'Balance YOY'!$K$47,'Balance YOY'!$G$48,'Balance YOY'!$I$48,'Balance YOY'!$K$48,'Balance YOY'!$G$49,'Balance YOY'!$I$49,'Balance YOY'!$K$49,'Balance YOY'!$K$54,'Balance YOY'!$G$55,'Balance YOY'!$I$55,'Balance YOY'!$K$55,'Balance YOY'!$K$57</definedName>
    <definedName name="QB_FORMULA_3" localSheetId="1" hidden="1">'P&amp;L - Budg to Actual'!$N$27,'P&amp;L - Budg to Actual'!#REF!,'P&amp;L - Budg to Actual'!$N$28,'P&amp;L - Budg to Actual'!#REF!,'P&amp;L - Budg to Actual'!$N$29,'P&amp;L - Budg to Actual'!#REF!,'P&amp;L - Budg to Actual'!$N$30,'P&amp;L - Budg to Actual'!#REF!,'P&amp;L - Budg to Actual'!$N$31,'P&amp;L - Budg to Actual'!$H$32,'P&amp;L - Budg to Actual'!#REF!,'P&amp;L - Budg to Actual'!#REF!,'P&amp;L - Budg to Actual'!$J$32,'P&amp;L - Budg to Actual'!$L$32,'P&amp;L - Budg to Actual'!$N$32,'P&amp;L - Budg to Actual'!$P$32</definedName>
    <definedName name="QB_FORMULA_4" localSheetId="0" hidden="1">'Balance YOY'!$K$58,'Balance YOY'!$K$59,'Balance YOY'!$G$60,'Balance YOY'!$I$60,'Balance YOY'!$K$60,'Balance YOY'!$K$62,'Balance YOY'!$K$63,'Balance YOY'!$K$64,'Balance YOY'!$K$65,'Balance YOY'!$K$67,'Balance YOY'!$K$68,'Balance YOY'!$K$69,'Balance YOY'!$K$70,'Balance YOY'!$K$71,'Balance YOY'!$G$72,'Balance YOY'!$I$72</definedName>
    <definedName name="QB_FORMULA_4" localSheetId="1" hidden="1">'P&amp;L - Budg to Actual'!#REF!,'P&amp;L - Budg to Actual'!$N$33,'P&amp;L - Budg to Actual'!$H$34,'P&amp;L - Budg to Actual'!#REF!,'P&amp;L - Budg to Actual'!#REF!,'P&amp;L - Budg to Actual'!$J$34,'P&amp;L - Budg to Actual'!$L$34,'P&amp;L - Budg to Actual'!$N$34,'P&amp;L - Budg to Actual'!$P$34,'P&amp;L - Budg to Actual'!$H$35,'P&amp;L - Budg to Actual'!#REF!,'P&amp;L - Budg to Actual'!#REF!,'P&amp;L - Budg to Actual'!$J$35,'P&amp;L - Budg to Actual'!$L$35,'P&amp;L - Budg to Actual'!$N$35,'P&amp;L - Budg to Actual'!$P$35</definedName>
    <definedName name="QB_FORMULA_5" localSheetId="0" hidden="1">'Balance YOY'!$K$72,'Balance YOY'!$G$73,'Balance YOY'!$I$73,'Balance YOY'!$K$73,'Balance YOY'!$G$74,'Balance YOY'!$I$74,'Balance YOY'!$K$74,'Balance YOY'!$K$76,'Balance YOY'!$K$77,'Balance YOY'!$G$78,'Balance YOY'!$I$78,'Balance YOY'!$K$78,'Balance YOY'!$G$79,'Balance YOY'!$I$79,'Balance YOY'!$K$79,'Balance YOY'!$K$81</definedName>
    <definedName name="QB_FORMULA_5" localSheetId="1" hidden="1">'P&amp;L - Budg to Actual'!#REF!,'P&amp;L - Budg to Actual'!$N$38,'P&amp;L - Budg to Actual'!#REF!,'P&amp;L - Budg to Actual'!$N$39,'P&amp;L - Budg to Actual'!#REF!,'P&amp;L - Budg to Actual'!$N$40,'P&amp;L - Budg to Actual'!#REF!,'P&amp;L - Budg to Actual'!$N$41,'P&amp;L - Budg to Actual'!#REF!,'P&amp;L - Budg to Actual'!$N$42,'P&amp;L - Budg to Actual'!#REF!,'P&amp;L - Budg to Actual'!$N$43,'P&amp;L - Budg to Actual'!$H$44,'P&amp;L - Budg to Actual'!#REF!,'P&amp;L - Budg to Actual'!#REF!,'P&amp;L - Budg to Actual'!$J$44</definedName>
    <definedName name="QB_FORMULA_6" localSheetId="0" hidden="1">'Balance YOY'!$K$82,'Balance YOY'!$K$83,'Balance YOY'!$G$84,'Balance YOY'!$I$84,'Balance YOY'!$K$84,'Balance YOY'!$G$85,'Balance YOY'!$I$85,'Balance YOY'!$K$85</definedName>
    <definedName name="QB_FORMULA_6" localSheetId="1" hidden="1">'P&amp;L - Budg to Actual'!$L$44,'P&amp;L - Budg to Actual'!$N$44,'P&amp;L - Budg to Actual'!$P$44,'P&amp;L - Budg to Actual'!#REF!,'P&amp;L - Budg to Actual'!$N$46,'P&amp;L - Budg to Actual'!#REF!,'P&amp;L - Budg to Actual'!$N$47,'P&amp;L - Budg to Actual'!#REF!,'P&amp;L - Budg to Actual'!$N$48,'P&amp;L - Budg to Actual'!#REF!,'P&amp;L - Budg to Actual'!$N$49,'P&amp;L - Budg to Actual'!#REF!,'P&amp;L - Budg to Actual'!$N$50,'P&amp;L - Budg to Actual'!$H$51,'P&amp;L - Budg to Actual'!#REF!,'P&amp;L - Budg to Actual'!#REF!</definedName>
    <definedName name="QB_FORMULA_7" localSheetId="1" hidden="1">'P&amp;L - Budg to Actual'!$J$51,'P&amp;L - Budg to Actual'!$L$51,'P&amp;L - Budg to Actual'!$N$51,'P&amp;L - Budg to Actual'!$P$51,'P&amp;L - Budg to Actual'!#REF!,'P&amp;L - Budg to Actual'!$N$53,'P&amp;L - Budg to Actual'!#REF!,'P&amp;L - Budg to Actual'!$N$55,'P&amp;L - Budg to Actual'!#REF!,'P&amp;L - Budg to Actual'!$N$56,'P&amp;L - Budg to Actual'!$H$57,'P&amp;L - Budg to Actual'!#REF!,'P&amp;L - Budg to Actual'!#REF!,'P&amp;L - Budg to Actual'!$J$57,'P&amp;L - Budg to Actual'!$L$57,'P&amp;L - Budg to Actual'!$N$57</definedName>
    <definedName name="QB_FORMULA_8" localSheetId="1" hidden="1">'P&amp;L - Budg to Actual'!$P$57,'P&amp;L - Budg to Actual'!#REF!,'P&amp;L - Budg to Actual'!$N$59,'P&amp;L - Budg to Actual'!#REF!,'P&amp;L - Budg to Actual'!$N$60,'P&amp;L - Budg to Actual'!#REF!,'P&amp;L - Budg to Actual'!$N$61,'P&amp;L - Budg to Actual'!#REF!,'P&amp;L - Budg to Actual'!$N$62,'P&amp;L - Budg to Actual'!$N$63,'P&amp;L - Budg to Actual'!#REF!,'P&amp;L - Budg to Actual'!$N$64,'P&amp;L - Budg to Actual'!#REF!,'P&amp;L - Budg to Actual'!$N$65,'P&amp;L - Budg to Actual'!#REF!,'P&amp;L - Budg to Actual'!$N$66</definedName>
    <definedName name="QB_FORMULA_9" localSheetId="1" hidden="1">'P&amp;L - Budg to Actual'!#REF!,'P&amp;L - Budg to Actual'!$N$67,'P&amp;L - Budg to Actual'!#REF!,'P&amp;L - Budg to Actual'!$N$68,'P&amp;L - Budg to Actual'!$N$69,'P&amp;L - Budg to Actual'!$N$70,'P&amp;L - Budg to Actual'!$H$71,'P&amp;L - Budg to Actual'!#REF!,'P&amp;L - Budg to Actual'!#REF!,'P&amp;L - Budg to Actual'!$J$71,'P&amp;L - Budg to Actual'!$L$71,'P&amp;L - Budg to Actual'!$N$71,'P&amp;L - Budg to Actual'!$P$71,'P&amp;L - Budg to Actual'!#REF!,'P&amp;L - Budg to Actual'!$N$72,'P&amp;L - Budg to Actual'!#REF!</definedName>
    <definedName name="QB_ROW_1" localSheetId="0" hidden="1">'Balance YOY'!$A$3</definedName>
    <definedName name="QB_ROW_100250" localSheetId="1" hidden="1">'P&amp;L - Budg to Actual'!$F$24</definedName>
    <definedName name="QB_ROW_10031" localSheetId="0" hidden="1">'Balance YOY'!$D$53</definedName>
    <definedName name="QB_ROW_1011" localSheetId="0" hidden="1">'Balance YOY'!$B$4</definedName>
    <definedName name="QB_ROW_101250" localSheetId="1" hidden="1">'P&amp;L - Budg to Actual'!$F$26</definedName>
    <definedName name="QB_ROW_102250" localSheetId="1" hidden="1">'P&amp;L - Budg to Actual'!$F$27</definedName>
    <definedName name="QB_ROW_103250" localSheetId="1" hidden="1">'P&amp;L - Budg to Actual'!$F$28</definedName>
    <definedName name="QB_ROW_10331" localSheetId="0" hidden="1">'Balance YOY'!$D$55</definedName>
    <definedName name="QB_ROW_104250" localSheetId="1" hidden="1">'P&amp;L - Budg to Actual'!$F$29</definedName>
    <definedName name="QB_ROW_105250" localSheetId="1" hidden="1">'P&amp;L - Budg to Actual'!$F$30</definedName>
    <definedName name="QB_ROW_106250" localSheetId="1" hidden="1">'P&amp;L - Budg to Actual'!$F$31</definedName>
    <definedName name="QB_ROW_107240" localSheetId="1" hidden="1">'P&amp;L - Budg to Actual'!$E$33</definedName>
    <definedName name="QB_ROW_108350" localSheetId="1" hidden="1">'P&amp;L - Budg to Actual'!$F$38</definedName>
    <definedName name="QB_ROW_109250" localSheetId="1" hidden="1">'P&amp;L - Budg to Actual'!$F$39</definedName>
    <definedName name="QB_ROW_110250" localSheetId="1" hidden="1">'P&amp;L - Budg to Actual'!$F$40</definedName>
    <definedName name="QB_ROW_11031" localSheetId="0" hidden="1">'Balance YOY'!$D$56</definedName>
    <definedName name="QB_ROW_111040" localSheetId="1" hidden="1">'P&amp;L - Budg to Actual'!$E$45</definedName>
    <definedName name="QB_ROW_111340" localSheetId="1" hidden="1">'P&amp;L - Budg to Actual'!$E$51</definedName>
    <definedName name="QB_ROW_112250" localSheetId="1" hidden="1">'P&amp;L - Budg to Actual'!$F$46</definedName>
    <definedName name="QB_ROW_113250" localSheetId="1" hidden="1">'P&amp;L - Budg to Actual'!$F$47</definedName>
    <definedName name="QB_ROW_11331" localSheetId="0" hidden="1">'Balance YOY'!$D$60</definedName>
    <definedName name="QB_ROW_114250" localSheetId="1" hidden="1">'P&amp;L - Budg to Actual'!$F$48</definedName>
    <definedName name="QB_ROW_115250" localSheetId="1" hidden="1">'P&amp;L - Budg to Actual'!$F$53</definedName>
    <definedName name="QB_ROW_116250" localSheetId="1" hidden="1">'P&amp;L - Budg to Actual'!$F$104</definedName>
    <definedName name="QB_ROW_117050" localSheetId="1" hidden="1">'P&amp;L - Budg to Actual'!$F$105</definedName>
    <definedName name="QB_ROW_117350" localSheetId="1" hidden="1">'P&amp;L - Budg to Actual'!$F$108</definedName>
    <definedName name="QB_ROW_118260" localSheetId="1" hidden="1">'P&amp;L - Budg to Actual'!$G$106</definedName>
    <definedName name="QB_ROW_119360" localSheetId="1" hidden="1">'P&amp;L - Budg to Actual'!$G$107</definedName>
    <definedName name="QB_ROW_120250" localSheetId="1" hidden="1">'P&amp;L - Budg to Actual'!$F$109</definedName>
    <definedName name="QB_ROW_12031" localSheetId="0" hidden="1">'Balance YOY'!$D$61</definedName>
    <definedName name="QB_ROW_121250" localSheetId="1" hidden="1">'P&amp;L - Budg to Actual'!$F$110</definedName>
    <definedName name="QB_ROW_122050" localSheetId="1" hidden="1">'P&amp;L - Budg to Actual'!$F$111</definedName>
    <definedName name="QB_ROW_122260" localSheetId="1" hidden="1">'P&amp;L - Budg to Actual'!$G$113</definedName>
    <definedName name="QB_ROW_122350" localSheetId="1" hidden="1">'P&amp;L - Budg to Actual'!$F$114</definedName>
    <definedName name="QB_ROW_123250" localSheetId="1" hidden="1">'P&amp;L - Budg to Actual'!$F$116</definedName>
    <definedName name="QB_ROW_12331" localSheetId="0" hidden="1">'Balance YOY'!$D$73</definedName>
    <definedName name="QB_ROW_124350" localSheetId="1" hidden="1">'P&amp;L - Budg to Actual'!$F$118</definedName>
    <definedName name="QB_ROW_125350" localSheetId="1" hidden="1">'P&amp;L - Budg to Actual'!$F$119</definedName>
    <definedName name="QB_ROW_126250" localSheetId="1" hidden="1">'P&amp;L - Budg to Actual'!$F$120</definedName>
    <definedName name="QB_ROW_127050" localSheetId="1" hidden="1">'P&amp;L - Budg to Actual'!$F$54</definedName>
    <definedName name="QB_ROW_127260" localSheetId="1" hidden="1">'P&amp;L - Budg to Actual'!$G$56</definedName>
    <definedName name="QB_ROW_127350" localSheetId="1" hidden="1">'P&amp;L - Budg to Actual'!$F$57</definedName>
    <definedName name="QB_ROW_128250" localSheetId="1" hidden="1">'P&amp;L - Budg to Actual'!$F$122</definedName>
    <definedName name="QB_ROW_13021" localSheetId="0" hidden="1">'Balance YOY'!$C$75</definedName>
    <definedName name="QB_ROW_130250" localSheetId="1" hidden="1">'P&amp;L - Budg to Actual'!$F$93</definedName>
    <definedName name="QB_ROW_131050" localSheetId="1" hidden="1">'P&amp;L - Budg to Actual'!$F$98</definedName>
    <definedName name="QB_ROW_1311" localSheetId="0" hidden="1">'Balance YOY'!$B$23</definedName>
    <definedName name="QB_ROW_131260" localSheetId="1" hidden="1">'P&amp;L - Budg to Actual'!$G$100</definedName>
    <definedName name="QB_ROW_131350" localSheetId="1" hidden="1">'P&amp;L - Budg to Actual'!$F$101</definedName>
    <definedName name="QB_ROW_132350" localSheetId="1" hidden="1">'P&amp;L - Budg to Actual'!$F$123</definedName>
    <definedName name="QB_ROW_13321" localSheetId="0" hidden="1">'Balance YOY'!$C$78</definedName>
    <definedName name="QB_ROW_134050" localSheetId="1" hidden="1">'P&amp;L - Budg to Actual'!$F$58</definedName>
    <definedName name="QB_ROW_134350" localSheetId="1" hidden="1">'P&amp;L - Budg to Actual'!$F$71</definedName>
    <definedName name="QB_ROW_135360" localSheetId="1" hidden="1">'P&amp;L - Budg to Actual'!$G$60</definedName>
    <definedName name="QB_ROW_136260" localSheetId="1" hidden="1">'P&amp;L - Budg to Actual'!$G$61</definedName>
    <definedName name="QB_ROW_137260" localSheetId="1" hidden="1">'P&amp;L - Budg to Actual'!$G$62</definedName>
    <definedName name="QB_ROW_138360" localSheetId="1" hidden="1">'P&amp;L - Budg to Actual'!$G$64</definedName>
    <definedName name="QB_ROW_139360" localSheetId="1" hidden="1">'P&amp;L - Budg to Actual'!$G$65</definedName>
    <definedName name="QB_ROW_14011" localSheetId="0" hidden="1">'Balance YOY'!$B$80</definedName>
    <definedName name="QB_ROW_140260" localSheetId="1" hidden="1">'P&amp;L - Budg to Actual'!$G$66</definedName>
    <definedName name="QB_ROW_141360" localSheetId="1" hidden="1">'P&amp;L - Budg to Actual'!$G$67</definedName>
    <definedName name="QB_ROW_14311" localSheetId="0" hidden="1">'Balance YOY'!$B$84</definedName>
    <definedName name="QB_ROW_143350" localSheetId="1" hidden="1">'P&amp;L - Budg to Actual'!$F$74</definedName>
    <definedName name="QB_ROW_144250" localSheetId="1" hidden="1">'P&amp;L - Budg to Actual'!$F$72</definedName>
    <definedName name="QB_ROW_145250" localSheetId="1" hidden="1">'P&amp;L - Budg to Actual'!$F$73</definedName>
    <definedName name="QB_ROW_146050" localSheetId="1" hidden="1">'P&amp;L - Budg to Actual'!$F$75</definedName>
    <definedName name="QB_ROW_146260" localSheetId="1" hidden="1">'P&amp;L - Budg to Actual'!$G$77</definedName>
    <definedName name="QB_ROW_146350" localSheetId="1" hidden="1">'P&amp;L - Budg to Actual'!$F$78</definedName>
    <definedName name="QB_ROW_147250" localSheetId="1" hidden="1">'P&amp;L - Budg to Actual'!$F$79</definedName>
    <definedName name="QB_ROW_148250" localSheetId="1" hidden="1">'P&amp;L - Budg to Actual'!$F$80</definedName>
    <definedName name="QB_ROW_149250" localSheetId="1" hidden="1">'P&amp;L - Budg to Actual'!$F$81</definedName>
    <definedName name="QB_ROW_150250" localSheetId="1" hidden="1">'P&amp;L - Budg to Actual'!$F$82</definedName>
    <definedName name="QB_ROW_151250" localSheetId="1" hidden="1">'P&amp;L - Budg to Actual'!$F$83</definedName>
    <definedName name="QB_ROW_152250" localSheetId="1" hidden="1">'P&amp;L - Budg to Actual'!$F$84</definedName>
    <definedName name="QB_ROW_153250" localSheetId="1" hidden="1">'P&amp;L - Budg to Actual'!$F$85</definedName>
    <definedName name="QB_ROW_154050" localSheetId="1" hidden="1">'P&amp;L - Budg to Actual'!$F$86</definedName>
    <definedName name="QB_ROW_154260" localSheetId="1" hidden="1">'P&amp;L - Budg to Actual'!$G$88</definedName>
    <definedName name="QB_ROW_154350" localSheetId="1" hidden="1">'P&amp;L - Budg to Actual'!$F$89</definedName>
    <definedName name="QB_ROW_156250" localSheetId="1" hidden="1">'P&amp;L - Budg to Actual'!$F$126</definedName>
    <definedName name="QB_ROW_157230" localSheetId="1" hidden="1">'P&amp;L - Budg to Actual'!$D$132</definedName>
    <definedName name="QB_ROW_158230" localSheetId="1" hidden="1">'P&amp;L - Budg to Actual'!$D$133</definedName>
    <definedName name="QB_ROW_159230" localSheetId="1" hidden="1">'P&amp;L - Budg to Actual'!$D$134</definedName>
    <definedName name="QB_ROW_163250" localSheetId="1" hidden="1">'P&amp;L - Budg to Actual'!$F$94</definedName>
    <definedName name="QB_ROW_164250" localSheetId="1" hidden="1">'P&amp;L - Budg to Actual'!$F$95</definedName>
    <definedName name="QB_ROW_165250" localSheetId="1" hidden="1">'P&amp;L - Budg to Actual'!$F$96</definedName>
    <definedName name="QB_ROW_166250" localSheetId="1" hidden="1">'P&amp;L - Budg to Actual'!$F$97</definedName>
    <definedName name="QB_ROW_167260" localSheetId="1" hidden="1">'P&amp;L - Budg to Actual'!$G$59</definedName>
    <definedName name="QB_ROW_168250" localSheetId="1" hidden="1">'P&amp;L - Budg to Actual'!$F$49</definedName>
    <definedName name="QB_ROW_171230" localSheetId="0" hidden="1">'Balance YOY'!$D$15</definedName>
    <definedName name="QB_ROW_17221" localSheetId="0" hidden="1">'Balance YOY'!$C$83</definedName>
    <definedName name="QB_ROW_175230" localSheetId="0" hidden="1">'Balance YOY'!$D$18</definedName>
    <definedName name="QB_ROW_176240" localSheetId="0" hidden="1">'Balance YOY'!$E$64</definedName>
    <definedName name="QB_ROW_177230" localSheetId="0" hidden="1">'Balance YOY'!$D$19</definedName>
    <definedName name="QB_ROW_178250" localSheetId="1" hidden="1">'P&amp;L - Budg to Actual'!$F$115</definedName>
    <definedName name="QB_ROW_179240" localSheetId="0" hidden="1">'Balance YOY'!$E$58</definedName>
    <definedName name="QB_ROW_180230" localSheetId="0" hidden="1">'Balance YOY'!$D$9</definedName>
    <definedName name="QB_ROW_181350" localSheetId="1" hidden="1">'P&amp;L - Budg to Actual'!$F$117</definedName>
    <definedName name="QB_ROW_182260" localSheetId="1" hidden="1">'P&amp;L - Budg to Actual'!$G$55</definedName>
    <definedName name="QB_ROW_18301" localSheetId="1" hidden="1">'P&amp;L - Budg to Actual'!$A$137</definedName>
    <definedName name="QB_ROW_187260" localSheetId="1" hidden="1">'P&amp;L - Budg to Actual'!$G$112</definedName>
    <definedName name="QB_ROW_19011" localSheetId="1" hidden="1">'P&amp;L - Budg to Actual'!$B$3</definedName>
    <definedName name="QB_ROW_19040" localSheetId="1" hidden="1">'P&amp;L - Budg to Actual'!$E$5</definedName>
    <definedName name="QB_ROW_192260" localSheetId="1" hidden="1">'P&amp;L - Budg to Actual'!$G$76</definedName>
    <definedName name="QB_ROW_19311" localSheetId="1" hidden="1">'P&amp;L - Budg to Actual'!$B$129</definedName>
    <definedName name="QB_ROW_19340" localSheetId="1" hidden="1">'P&amp;L - Budg to Actual'!$E$13</definedName>
    <definedName name="QB_ROW_199260" localSheetId="1" hidden="1">'P&amp;L - Budg to Actual'!$G$87</definedName>
    <definedName name="QB_ROW_20031" localSheetId="1" hidden="1">'P&amp;L - Budg to Actual'!$D$4</definedName>
    <definedName name="QB_ROW_2021" localSheetId="0" hidden="1">'Balance YOY'!$C$5</definedName>
    <definedName name="QB_ROW_202230" localSheetId="0" hidden="1">'Balance YOY'!$D$21</definedName>
    <definedName name="QB_ROW_20250" localSheetId="1" hidden="1">'P&amp;L - Budg to Actual'!$F$6</definedName>
    <definedName name="QB_ROW_203230" localSheetId="0" hidden="1">'Balance YOY'!$D$14</definedName>
    <definedName name="QB_ROW_20331" localSheetId="1" hidden="1">'P&amp;L - Budg to Actual'!$D$34</definedName>
    <definedName name="QB_ROW_204250" localSheetId="1" hidden="1">'P&amp;L - Budg to Actual'!$F$125</definedName>
    <definedName name="QB_ROW_205220" localSheetId="0" hidden="1">'Balance YOY'!$C$46</definedName>
    <definedName name="QB_ROW_206220" localSheetId="0" hidden="1">'Balance YOY'!$C$47</definedName>
    <definedName name="QB_ROW_207260" localSheetId="1" hidden="1">'P&amp;L - Budg to Actual'!$G$99</definedName>
    <definedName name="QB_ROW_208250" localSheetId="1" hidden="1">'P&amp;L - Budg to Actual'!$F$121</definedName>
    <definedName name="QB_ROW_21031" localSheetId="1" hidden="1">'P&amp;L - Budg to Actual'!$D$36</definedName>
    <definedName name="QB_ROW_211250" localSheetId="1" hidden="1">'P&amp;L - Budg to Actual'!$F$15</definedName>
    <definedName name="QB_ROW_212250" localSheetId="1" hidden="1">'P&amp;L - Budg to Actual'!$F$41</definedName>
    <definedName name="QB_ROW_21250" localSheetId="1" hidden="1">'P&amp;L - Budg to Actual'!$F$7</definedName>
    <definedName name="QB_ROW_213260" localSheetId="1" hidden="1">'P&amp;L - Budg to Actual'!$G$68</definedName>
    <definedName name="QB_ROW_21331" localSheetId="1" hidden="1">'P&amp;L - Budg to Actual'!$D$128</definedName>
    <definedName name="QB_ROW_214250" localSheetId="1" hidden="1">'P&amp;L - Budg to Actual'!$F$90</definedName>
    <definedName name="QB_ROW_215250" localSheetId="1" hidden="1">'P&amp;L - Budg to Actual'!$F$50</definedName>
    <definedName name="QB_ROW_217250" localSheetId="1" hidden="1">'P&amp;L - Budg to Actual'!$F$42</definedName>
    <definedName name="QB_ROW_218240" localSheetId="0" hidden="1">'Balance YOY'!$E$65</definedName>
    <definedName name="QB_ROW_219040" localSheetId="1" hidden="1">'P&amp;L - Budg to Actual'!$E$52</definedName>
    <definedName name="QB_ROW_219340" localSheetId="1" hidden="1">'P&amp;L - Budg to Actual'!$E$91</definedName>
    <definedName name="QB_ROW_220040" localSheetId="1" hidden="1">'P&amp;L - Budg to Actual'!$E$92</definedName>
    <definedName name="QB_ROW_22011" localSheetId="1" hidden="1">'P&amp;L - Budg to Actual'!$B$130</definedName>
    <definedName name="QB_ROW_220340" localSheetId="1" hidden="1">'P&amp;L - Budg to Actual'!$E$102</definedName>
    <definedName name="QB_ROW_221040" localSheetId="1" hidden="1">'P&amp;L - Budg to Actual'!$E$103</definedName>
    <definedName name="QB_ROW_221340" localSheetId="1" hidden="1">'P&amp;L - Budg to Actual'!$E$127</definedName>
    <definedName name="QB_ROW_222260" localSheetId="1" hidden="1">'P&amp;L - Budg to Actual'!$G$69</definedName>
    <definedName name="QB_ROW_22311" localSheetId="1" hidden="1">'P&amp;L - Budg to Actual'!$B$136</definedName>
    <definedName name="QB_ROW_223260" localSheetId="1" hidden="1">'P&amp;L - Budg to Actual'!$G$70</definedName>
    <definedName name="QB_ROW_224260" localSheetId="1" hidden="1">'P&amp;L - Budg to Actual'!$G$63</definedName>
    <definedName name="QB_ROW_225240" localSheetId="0" hidden="1">'Balance YOY'!$E$59</definedName>
    <definedName name="QB_ROW_226250" localSheetId="1" hidden="1">'P&amp;L - Budg to Actual'!$F$124</definedName>
    <definedName name="QB_ROW_23021" localSheetId="1" hidden="1">'P&amp;L - Budg to Actual'!$C$131</definedName>
    <definedName name="QB_ROW_2321" localSheetId="0" hidden="1">'Balance YOY'!$C$10</definedName>
    <definedName name="QB_ROW_23321" localSheetId="1" hidden="1">'P&amp;L - Budg to Actual'!$C$135</definedName>
    <definedName name="QB_ROW_301" localSheetId="0" hidden="1">'Balance YOY'!$A$49</definedName>
    <definedName name="QB_ROW_3021" localSheetId="0" hidden="1">'Balance YOY'!$C$11</definedName>
    <definedName name="QB_ROW_3321" localSheetId="0" hidden="1">'Balance YOY'!$C$16</definedName>
    <definedName name="QB_ROW_4021" localSheetId="0" hidden="1">'Balance YOY'!$C$17</definedName>
    <definedName name="QB_ROW_4230" localSheetId="0" hidden="1">'Balance YOY'!$D$6</definedName>
    <definedName name="QB_ROW_4321" localSheetId="0" hidden="1">'Balance YOY'!$C$22</definedName>
    <definedName name="QB_ROW_47220" localSheetId="0" hidden="1">'Balance YOY'!$C$82</definedName>
    <definedName name="QB_ROW_48220" localSheetId="0" hidden="1">'Balance YOY'!$C$81</definedName>
    <definedName name="QB_ROW_50040" localSheetId="1" hidden="1">'P&amp;L - Budg to Actual'!$E$37</definedName>
    <definedName name="QB_ROW_5011" localSheetId="0" hidden="1">'Balance YOY'!$B$24</definedName>
    <definedName name="QB_ROW_50250" localSheetId="1" hidden="1">'P&amp;L - Budg to Actual'!$F$43</definedName>
    <definedName name="QB_ROW_50340" localSheetId="1" hidden="1">'P&amp;L - Budg to Actual'!$E$44</definedName>
    <definedName name="QB_ROW_51240" localSheetId="0" hidden="1">'Balance YOY'!$E$63</definedName>
    <definedName name="QB_ROW_5230" localSheetId="0" hidden="1">'Balance YOY'!$D$7</definedName>
    <definedName name="QB_ROW_5311" localSheetId="0" hidden="1">'Balance YOY'!$B$44</definedName>
    <definedName name="QB_ROW_53230" localSheetId="0" hidden="1">'Balance YOY'!$D$12</definedName>
    <definedName name="QB_ROW_54230" localSheetId="0" hidden="1">'Balance YOY'!$D$13</definedName>
    <definedName name="QB_ROW_55020" localSheetId="0" hidden="1">'Balance YOY'!$C$25</definedName>
    <definedName name="QB_ROW_55320" localSheetId="0" hidden="1">'Balance YOY'!$C$43</definedName>
    <definedName name="QB_ROW_56030" localSheetId="0" hidden="1">'Balance YOY'!$D$26</definedName>
    <definedName name="QB_ROW_56240" localSheetId="0" hidden="1">'Balance YOY'!$E$28</definedName>
    <definedName name="QB_ROW_56330" localSheetId="0" hidden="1">'Balance YOY'!$D$29</definedName>
    <definedName name="QB_ROW_57240" localSheetId="0" hidden="1">'Balance YOY'!$E$27</definedName>
    <definedName name="QB_ROW_58030" localSheetId="0" hidden="1">'Balance YOY'!$D$30</definedName>
    <definedName name="QB_ROW_58240" localSheetId="0" hidden="1">'Balance YOY'!$E$32</definedName>
    <definedName name="QB_ROW_58330" localSheetId="0" hidden="1">'Balance YOY'!$D$33</definedName>
    <definedName name="QB_ROW_59240" localSheetId="0" hidden="1">'Balance YOY'!$E$31</definedName>
    <definedName name="QB_ROW_60030" localSheetId="0" hidden="1">'Balance YOY'!$D$34</definedName>
    <definedName name="QB_ROW_6011" localSheetId="0" hidden="1">'Balance YOY'!$B$45</definedName>
    <definedName name="QB_ROW_60240" localSheetId="0" hidden="1">'Balance YOY'!$E$36</definedName>
    <definedName name="QB_ROW_60330" localSheetId="0" hidden="1">'Balance YOY'!$D$37</definedName>
    <definedName name="QB_ROW_61240" localSheetId="0" hidden="1">'Balance YOY'!$E$35</definedName>
    <definedName name="QB_ROW_62030" localSheetId="0" hidden="1">'Balance YOY'!$D$38</definedName>
    <definedName name="QB_ROW_62240" localSheetId="0" hidden="1">'Balance YOY'!$E$40</definedName>
    <definedName name="QB_ROW_62330" localSheetId="0" hidden="1">'Balance YOY'!$D$41</definedName>
    <definedName name="QB_ROW_6311" localSheetId="0" hidden="1">'Balance YOY'!$B$48</definedName>
    <definedName name="QB_ROW_63240" localSheetId="0" hidden="1">'Balance YOY'!$E$39</definedName>
    <definedName name="QB_ROW_64230" localSheetId="0" hidden="1">'Balance YOY'!$D$42</definedName>
    <definedName name="QB_ROW_67230" localSheetId="0" hidden="1">'Balance YOY'!$D$20</definedName>
    <definedName name="QB_ROW_68240" localSheetId="0" hidden="1">'Balance YOY'!$E$54</definedName>
    <definedName name="QB_ROW_7001" localSheetId="0" hidden="1">'Balance YOY'!$A$50</definedName>
    <definedName name="QB_ROW_70240" localSheetId="0" hidden="1">'Balance YOY'!$E$57</definedName>
    <definedName name="QB_ROW_71240" localSheetId="0" hidden="1">'Balance YOY'!$E$62</definedName>
    <definedName name="QB_ROW_72040" localSheetId="0" hidden="1">'Balance YOY'!$E$66</definedName>
    <definedName name="QB_ROW_7230" localSheetId="0" hidden="1">'Balance YOY'!$D$8</definedName>
    <definedName name="QB_ROW_72340" localSheetId="0" hidden="1">'Balance YOY'!$E$72</definedName>
    <definedName name="QB_ROW_7301" localSheetId="0" hidden="1">'Balance YOY'!$A$85</definedName>
    <definedName name="QB_ROW_73250" localSheetId="0" hidden="1">'Balance YOY'!$F$67</definedName>
    <definedName name="QB_ROW_74250" localSheetId="0" hidden="1">'Balance YOY'!$F$68</definedName>
    <definedName name="QB_ROW_77250" localSheetId="0" hidden="1">'Balance YOY'!$F$69</definedName>
    <definedName name="QB_ROW_78250" localSheetId="0" hidden="1">'Balance YOY'!$F$70</definedName>
    <definedName name="QB_ROW_8011" localSheetId="0" hidden="1">'Balance YOY'!$B$51</definedName>
    <definedName name="QB_ROW_80350" localSheetId="0" hidden="1">'Balance YOY'!$F$71</definedName>
    <definedName name="QB_ROW_82230" localSheetId="0" hidden="1">'Balance YOY'!$D$76</definedName>
    <definedName name="QB_ROW_8311" localSheetId="0" hidden="1">'Balance YOY'!$B$79</definedName>
    <definedName name="QB_ROW_83230" localSheetId="0" hidden="1">'Balance YOY'!$D$77</definedName>
    <definedName name="QB_ROW_84250" localSheetId="1" hidden="1">'P&amp;L - Budg to Actual'!$F$8</definedName>
    <definedName name="QB_ROW_85250" localSheetId="1" hidden="1">'P&amp;L - Budg to Actual'!$F$9</definedName>
    <definedName name="QB_ROW_86321" localSheetId="1" hidden="1">'P&amp;L - Budg to Actual'!$C$35</definedName>
    <definedName name="QB_ROW_86350" localSheetId="1" hidden="1">'P&amp;L - Budg to Actual'!$F$10</definedName>
    <definedName name="QB_ROW_88250" localSheetId="1" hidden="1">'P&amp;L - Budg to Actual'!$F$11</definedName>
    <definedName name="QB_ROW_89250" localSheetId="1" hidden="1">'P&amp;L - Budg to Actual'!$F$12</definedName>
    <definedName name="QB_ROW_90040" localSheetId="1" hidden="1">'P&amp;L - Budg to Actual'!$E$14</definedName>
    <definedName name="QB_ROW_9021" localSheetId="0" hidden="1">'Balance YOY'!$C$52</definedName>
    <definedName name="QB_ROW_90250" localSheetId="1" hidden="1">'P&amp;L - Budg to Actual'!$F$19</definedName>
    <definedName name="QB_ROW_90340" localSheetId="1" hidden="1">'P&amp;L - Budg to Actual'!$E$20</definedName>
    <definedName name="QB_ROW_9321" localSheetId="0" hidden="1">'Balance YOY'!$C$74</definedName>
    <definedName name="QB_ROW_93250" localSheetId="1" hidden="1">'P&amp;L - Budg to Actual'!$F$18</definedName>
    <definedName name="QB_ROW_94250" localSheetId="1" hidden="1">'P&amp;L - Budg to Actual'!$F$16</definedName>
    <definedName name="QB_ROW_95250" localSheetId="1" hidden="1">'P&amp;L - Budg to Actual'!$F$17</definedName>
    <definedName name="QB_ROW_96040" localSheetId="1" hidden="1">'P&amp;L - Budg to Actual'!$E$21</definedName>
    <definedName name="QB_ROW_96340" localSheetId="1" hidden="1">'P&amp;L - Budg to Actual'!$E$32</definedName>
    <definedName name="QB_ROW_97250" localSheetId="1" hidden="1">'P&amp;L - Budg to Actual'!$F$25</definedName>
    <definedName name="QB_ROW_98250" localSheetId="1" hidden="1">'P&amp;L - Budg to Actual'!$F$22</definedName>
    <definedName name="QB_ROW_99250" localSheetId="1" hidden="1">'P&amp;L - Budg to Actual'!$F$23</definedName>
    <definedName name="QBCANSUPPORTUPDATE" localSheetId="0">TRUE</definedName>
    <definedName name="QBCANSUPPORTUPDATE" localSheetId="1">TRUE</definedName>
    <definedName name="QBCOMPANYFILENAME" localSheetId="0">"W:\Quickbooks\ArtsWest_7.01.12.qbw"</definedName>
    <definedName name="QBCOMPANYFILENAME" localSheetId="1">"W:\Quickbooks\ArtsWest_7.01.12.qbw"</definedName>
    <definedName name="QBENDDATE" localSheetId="0">20160630</definedName>
    <definedName name="QBENDDATE" localSheetId="1">20160630</definedName>
    <definedName name="QBHEADERSONSCREEN" localSheetId="0">FALSE</definedName>
    <definedName name="QBHEADERSONSCREEN" localSheetId="1">FALSE</definedName>
    <definedName name="QBMETADATASIZE" localSheetId="0">5892</definedName>
    <definedName name="QBMETADATASIZE" localSheetId="1">5892</definedName>
    <definedName name="QBPRESERVECOLOR" localSheetId="0">TRUE</definedName>
    <definedName name="QBPRESERVECOLOR" localSheetId="1">TRUE</definedName>
    <definedName name="QBPRESERVEFONT" localSheetId="0">TRUE</definedName>
    <definedName name="QBPRESERVEFONT" localSheetId="1">TRUE</definedName>
    <definedName name="QBPRESERVEROWHEIGHT" localSheetId="0">TRUE</definedName>
    <definedName name="QBPRESERVEROWHEIGHT" localSheetId="1">TRUE</definedName>
    <definedName name="QBPRESERVESPACE" localSheetId="0">TRUE</definedName>
    <definedName name="QBPRESERVESPACE" localSheetId="1">TRUE</definedName>
    <definedName name="QBREPORTCOLAXIS" localSheetId="0">0</definedName>
    <definedName name="QBREPORTCOLAXIS" localSheetId="1">0</definedName>
    <definedName name="QBREPORTCOMPANYID" localSheetId="0">"9ac8c703c1f04b3b8146d5c8f6ae709e"</definedName>
    <definedName name="QBREPORTCOMPANYID" localSheetId="1">"9ac8c703c1f04b3b8146d5c8f6ae709e"</definedName>
    <definedName name="QBREPORTCOMPARECOL_ANNUALBUDGET" localSheetId="0">FALSE</definedName>
    <definedName name="QBREPORTCOMPARECOL_ANNUALBUDGET" localSheetId="1">TRUE</definedName>
    <definedName name="QBREPORTCOMPARECOL_AVGCOGS" localSheetId="0">FALSE</definedName>
    <definedName name="QBREPORTCOMPARECOL_AVGCOGS" localSheetId="1">FALSE</definedName>
    <definedName name="QBREPORTCOMPARECOL_AVGPRICE" localSheetId="0">FALSE</definedName>
    <definedName name="QBREPORTCOMPARECOL_AVGPRICE" localSheetId="1">FALSE</definedName>
    <definedName name="QBREPORTCOMPARECOL_BUDDIFF" localSheetId="0">FALSE</definedName>
    <definedName name="QBREPORTCOMPARECOL_BUDDIFF" localSheetId="1">FALSE</definedName>
    <definedName name="QBREPORTCOMPARECOL_BUDGET" localSheetId="0">FALSE</definedName>
    <definedName name="QBREPORTCOMPARECOL_BUDGET" localSheetId="1">TRUE</definedName>
    <definedName name="QBREPORTCOMPARECOL_BUDPCT" localSheetId="0">FALSE</definedName>
    <definedName name="QBREPORTCOMPARECOL_BUDPCT" localSheetId="1">TRUE</definedName>
    <definedName name="QBREPORTCOMPARECOL_COGS" localSheetId="0">FALSE</definedName>
    <definedName name="QBREPORTCOMPARECOL_COGS" localSheetId="1">FALSE</definedName>
    <definedName name="QBREPORTCOMPARECOL_EXCLUDEAMOUNT" localSheetId="0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1">FALSE</definedName>
    <definedName name="QBREPORTCOMPARECOL_FORECAST" localSheetId="0">FALSE</definedName>
    <definedName name="QBREPORTCOMPARECOL_FORECAST" localSheetId="1">FALSE</definedName>
    <definedName name="QBREPORTCOMPARECOL_GROSSMARGIN" localSheetId="0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1">FALSE</definedName>
    <definedName name="QBREPORTCOMPARECOL_HOURS" localSheetId="0">FALSE</definedName>
    <definedName name="QBREPORTCOMPARECOL_HOURS" localSheetId="1">FALSE</definedName>
    <definedName name="QBREPORTCOMPARECOL_PCTCOL" localSheetId="0">FALSE</definedName>
    <definedName name="QBREPORTCOMPARECOL_PCTCOL" localSheetId="1">FALSE</definedName>
    <definedName name="QBREPORTCOMPARECOL_PCTEXPENSE" localSheetId="0">FALSE</definedName>
    <definedName name="QBREPORTCOMPARECOL_PCTEXPENSE" localSheetId="1">FALSE</definedName>
    <definedName name="QBREPORTCOMPARECOL_PCTINCOME" localSheetId="0">FALSE</definedName>
    <definedName name="QBREPORTCOMPARECOL_PCTINCOME" localSheetId="1">FALSE</definedName>
    <definedName name="QBREPORTCOMPARECOL_PCTOFSALES" localSheetId="0">FALSE</definedName>
    <definedName name="QBREPORTCOMPARECOL_PCTOFSALES" localSheetId="1">FALSE</definedName>
    <definedName name="QBREPORTCOMPARECOL_PCTROW" localSheetId="0">FALSE</definedName>
    <definedName name="QBREPORTCOMPARECOL_PCTROW" localSheetId="1">FALSE</definedName>
    <definedName name="QBREPORTCOMPARECOL_PPDIFF" localSheetId="0">FALSE</definedName>
    <definedName name="QBREPORTCOMPARECOL_PPDIFF" localSheetId="1">FALSE</definedName>
    <definedName name="QBREPORTCOMPARECOL_PPPCT" localSheetId="0">FALSE</definedName>
    <definedName name="QBREPORTCOMPARECOL_PPPCT" localSheetId="1">FALSE</definedName>
    <definedName name="QBREPORTCOMPARECOL_PREVPERIOD" localSheetId="0">FALSE</definedName>
    <definedName name="QBREPORTCOMPARECOL_PREVPERIOD" localSheetId="1">FALSE</definedName>
    <definedName name="QBREPORTCOMPARECOL_PREVYEAR" localSheetId="0">TRUE</definedName>
    <definedName name="QBREPORTCOMPARECOL_PREVYEAR" localSheetId="1">FALSE</definedName>
    <definedName name="QBREPORTCOMPARECOL_PYDIFF" localSheetId="0">TRUE</definedName>
    <definedName name="QBREPORTCOMPARECOL_PYDIFF" localSheetId="1">FALSE</definedName>
    <definedName name="QBREPORTCOMPARECOL_PYPCT" localSheetId="0">FALSE</definedName>
    <definedName name="QBREPORTCOMPARECOL_PYPCT" localSheetId="1">FALSE</definedName>
    <definedName name="QBREPORTCOMPARECOL_QTY" localSheetId="0">FALSE</definedName>
    <definedName name="QBREPORTCOMPARECOL_QTY" localSheetId="1">FALSE</definedName>
    <definedName name="QBREPORTCOMPARECOL_RATE" localSheetId="0">FALSE</definedName>
    <definedName name="QBREPORTCOMPARECOL_RATE" localSheetId="1">FALSE</definedName>
    <definedName name="QBREPORTCOMPARECOL_TRIPBILLEDMILES" localSheetId="0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1">FALSE</definedName>
    <definedName name="QBREPORTCOMPARECOL_TRIPMILES" localSheetId="0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1">FALSE</definedName>
    <definedName name="QBREPORTCOMPARECOL_YTD" localSheetId="0">FALSE</definedName>
    <definedName name="QBREPORTCOMPARECOL_YTD" localSheetId="1">TRUE</definedName>
    <definedName name="QBREPORTCOMPARECOL_YTDBUDGET" localSheetId="0">FALSE</definedName>
    <definedName name="QBREPORTCOMPARECOL_YTDBUDGET" localSheetId="1">TRUE</definedName>
    <definedName name="QBREPORTCOMPARECOL_YTDPCT" localSheetId="0">FALSE</definedName>
    <definedName name="QBREPORTCOMPARECOL_YTDPCT" localSheetId="1">FALSE</definedName>
    <definedName name="QBREPORTROWAXIS" localSheetId="0">9</definedName>
    <definedName name="QBREPORTROWAXIS" localSheetId="1">11</definedName>
    <definedName name="QBREPORTSUBCOLAXIS" localSheetId="0">24</definedName>
    <definedName name="QBREPORTSUBCOLAXIS" localSheetId="1">24</definedName>
    <definedName name="QBREPORTTYPE" localSheetId="0">6</definedName>
    <definedName name="QBREPORTTYPE" localSheetId="1">273</definedName>
    <definedName name="QBROWHEADERS" localSheetId="0">6</definedName>
    <definedName name="QBROWHEADERS" localSheetId="1">7</definedName>
    <definedName name="QBSTARTDATE" localSheetId="0">20160630</definedName>
    <definedName name="QBSTARTDATE" localSheetId="1">20160601</definedName>
    <definedName name="taggedarea">'[1]Report 2006-07'!$A$1:$L$59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 l="1"/>
  <c r="H23" i="4" s="1"/>
  <c r="G21" i="4"/>
  <c r="I21" i="4" s="1"/>
  <c r="D21" i="4"/>
  <c r="C21" i="4"/>
  <c r="E21" i="4" s="1"/>
  <c r="J19" i="4"/>
  <c r="I19" i="4"/>
  <c r="E19" i="4"/>
  <c r="J18" i="4"/>
  <c r="I18" i="4"/>
  <c r="E18" i="4"/>
  <c r="H15" i="4"/>
  <c r="I15" i="4" s="1"/>
  <c r="G15" i="4"/>
  <c r="D15" i="4"/>
  <c r="C15" i="4"/>
  <c r="J15" i="4" s="1"/>
  <c r="B15" i="4"/>
  <c r="J13" i="4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19" i="3"/>
  <c r="H19" i="3"/>
  <c r="F19" i="3"/>
  <c r="E19" i="3"/>
  <c r="I18" i="3"/>
  <c r="K18" i="3" s="1"/>
  <c r="L18" i="3" s="1"/>
  <c r="M17" i="3"/>
  <c r="I17" i="3"/>
  <c r="K17" i="3" s="1"/>
  <c r="L17" i="3" s="1"/>
  <c r="M16" i="3"/>
  <c r="I16" i="3"/>
  <c r="K16" i="3" s="1"/>
  <c r="L16" i="3" s="1"/>
  <c r="I15" i="3"/>
  <c r="K15" i="3" s="1"/>
  <c r="L15" i="3" s="1"/>
  <c r="M14" i="3"/>
  <c r="I14" i="3"/>
  <c r="K14" i="3" s="1"/>
  <c r="L14" i="3" s="1"/>
  <c r="G13" i="3"/>
  <c r="I13" i="3" s="1"/>
  <c r="D13" i="3"/>
  <c r="D19" i="3" s="1"/>
  <c r="I12" i="3"/>
  <c r="K12" i="3" s="1"/>
  <c r="L12" i="3" s="1"/>
  <c r="D12" i="3"/>
  <c r="G11" i="3"/>
  <c r="G19" i="3" s="1"/>
  <c r="M10" i="3"/>
  <c r="I10" i="3"/>
  <c r="K10" i="3" s="1"/>
  <c r="L10" i="3" s="1"/>
  <c r="D10" i="3"/>
  <c r="M9" i="3"/>
  <c r="I9" i="3"/>
  <c r="K9" i="3" s="1"/>
  <c r="J136" i="2"/>
  <c r="P135" i="2"/>
  <c r="P136" i="2" s="1"/>
  <c r="L135" i="2"/>
  <c r="L136" i="2" s="1"/>
  <c r="N136" i="2" s="1"/>
  <c r="J135" i="2"/>
  <c r="H135" i="2"/>
  <c r="H136" i="2" s="1"/>
  <c r="N134" i="2"/>
  <c r="N133" i="2"/>
  <c r="N132" i="2"/>
  <c r="L127" i="2"/>
  <c r="N126" i="2"/>
  <c r="T125" i="2"/>
  <c r="T123" i="2"/>
  <c r="N123" i="2"/>
  <c r="T122" i="2"/>
  <c r="N122" i="2"/>
  <c r="T121" i="2"/>
  <c r="N121" i="2"/>
  <c r="N120" i="2"/>
  <c r="T119" i="2"/>
  <c r="N119" i="2"/>
  <c r="T118" i="2"/>
  <c r="N118" i="2"/>
  <c r="T117" i="2"/>
  <c r="N117" i="2"/>
  <c r="T116" i="2"/>
  <c r="N116" i="2"/>
  <c r="T115" i="2"/>
  <c r="R114" i="2"/>
  <c r="P114" i="2"/>
  <c r="N114" i="2"/>
  <c r="L114" i="2"/>
  <c r="J114" i="2"/>
  <c r="T114" i="2" s="1"/>
  <c r="H114" i="2"/>
  <c r="T113" i="2"/>
  <c r="N113" i="2"/>
  <c r="T110" i="2"/>
  <c r="N110" i="2"/>
  <c r="T109" i="2"/>
  <c r="N109" i="2"/>
  <c r="R108" i="2"/>
  <c r="R127" i="2" s="1"/>
  <c r="P108" i="2"/>
  <c r="P127" i="2" s="1"/>
  <c r="L108" i="2"/>
  <c r="J108" i="2"/>
  <c r="T108" i="2" s="1"/>
  <c r="H108" i="2"/>
  <c r="H127" i="2" s="1"/>
  <c r="T107" i="2"/>
  <c r="N107" i="2"/>
  <c r="T106" i="2"/>
  <c r="N106" i="2"/>
  <c r="T104" i="2"/>
  <c r="N104" i="2"/>
  <c r="R102" i="2"/>
  <c r="L102" i="2"/>
  <c r="N102" i="2" s="1"/>
  <c r="J102" i="2"/>
  <c r="T102" i="2" s="1"/>
  <c r="R101" i="2"/>
  <c r="P101" i="2"/>
  <c r="P102" i="2" s="1"/>
  <c r="L101" i="2"/>
  <c r="N101" i="2" s="1"/>
  <c r="J101" i="2"/>
  <c r="T101" i="2" s="1"/>
  <c r="H101" i="2"/>
  <c r="H102" i="2" s="1"/>
  <c r="T100" i="2"/>
  <c r="N100" i="2"/>
  <c r="T97" i="2"/>
  <c r="N97" i="2"/>
  <c r="T96" i="2"/>
  <c r="N96" i="2"/>
  <c r="N95" i="2"/>
  <c r="T94" i="2"/>
  <c r="N94" i="2"/>
  <c r="T93" i="2"/>
  <c r="N93" i="2"/>
  <c r="T90" i="2"/>
  <c r="N90" i="2"/>
  <c r="R89" i="2"/>
  <c r="R91" i="2" s="1"/>
  <c r="P89" i="2"/>
  <c r="N89" i="2"/>
  <c r="L89" i="2"/>
  <c r="J89" i="2"/>
  <c r="T89" i="2" s="1"/>
  <c r="H89" i="2"/>
  <c r="T88" i="2"/>
  <c r="N88" i="2"/>
  <c r="N87" i="2"/>
  <c r="T85" i="2"/>
  <c r="N85" i="2"/>
  <c r="T84" i="2"/>
  <c r="N84" i="2"/>
  <c r="T83" i="2"/>
  <c r="N83" i="2"/>
  <c r="T82" i="2"/>
  <c r="N82" i="2"/>
  <c r="T81" i="2"/>
  <c r="N81" i="2"/>
  <c r="T80" i="2"/>
  <c r="N80" i="2"/>
  <c r="T79" i="2"/>
  <c r="N79" i="2"/>
  <c r="R78" i="2"/>
  <c r="P78" i="2"/>
  <c r="N78" i="2"/>
  <c r="L78" i="2"/>
  <c r="J78" i="2"/>
  <c r="T78" i="2" s="1"/>
  <c r="H78" i="2"/>
  <c r="T77" i="2"/>
  <c r="N77" i="2"/>
  <c r="T74" i="2"/>
  <c r="N74" i="2"/>
  <c r="T73" i="2"/>
  <c r="N73" i="2"/>
  <c r="T72" i="2"/>
  <c r="N72" i="2"/>
  <c r="T71" i="2"/>
  <c r="R71" i="2"/>
  <c r="P71" i="2"/>
  <c r="L71" i="2"/>
  <c r="N71" i="2" s="1"/>
  <c r="J71" i="2"/>
  <c r="H71" i="2"/>
  <c r="T70" i="2"/>
  <c r="N70" i="2"/>
  <c r="T69" i="2"/>
  <c r="N69" i="2"/>
  <c r="T68" i="2"/>
  <c r="N68" i="2"/>
  <c r="T67" i="2"/>
  <c r="N67" i="2"/>
  <c r="T66" i="2"/>
  <c r="N66" i="2"/>
  <c r="T65" i="2"/>
  <c r="N65" i="2"/>
  <c r="T64" i="2"/>
  <c r="N64" i="2"/>
  <c r="T63" i="2"/>
  <c r="N63" i="2"/>
  <c r="T62" i="2"/>
  <c r="N62" i="2"/>
  <c r="T61" i="2"/>
  <c r="N61" i="2"/>
  <c r="T60" i="2"/>
  <c r="N60" i="2"/>
  <c r="T59" i="2"/>
  <c r="N59" i="2"/>
  <c r="R57" i="2"/>
  <c r="P57" i="2"/>
  <c r="P91" i="2" s="1"/>
  <c r="L57" i="2"/>
  <c r="J57" i="2"/>
  <c r="N57" i="2" s="1"/>
  <c r="H57" i="2"/>
  <c r="H91" i="2" s="1"/>
  <c r="T56" i="2"/>
  <c r="N56" i="2"/>
  <c r="N55" i="2"/>
  <c r="T53" i="2"/>
  <c r="N53" i="2"/>
  <c r="R51" i="2"/>
  <c r="P51" i="2"/>
  <c r="L51" i="2"/>
  <c r="J51" i="2"/>
  <c r="N51" i="2" s="1"/>
  <c r="H51" i="2"/>
  <c r="N50" i="2"/>
  <c r="T49" i="2"/>
  <c r="N49" i="2"/>
  <c r="T48" i="2"/>
  <c r="N48" i="2"/>
  <c r="T47" i="2"/>
  <c r="N47" i="2"/>
  <c r="T46" i="2"/>
  <c r="N46" i="2"/>
  <c r="R44" i="2"/>
  <c r="R128" i="2" s="1"/>
  <c r="P44" i="2"/>
  <c r="L44" i="2"/>
  <c r="J44" i="2"/>
  <c r="H44" i="2"/>
  <c r="T43" i="2"/>
  <c r="N43" i="2"/>
  <c r="N42" i="2"/>
  <c r="T41" i="2"/>
  <c r="N41" i="2"/>
  <c r="T40" i="2"/>
  <c r="N40" i="2"/>
  <c r="T39" i="2"/>
  <c r="N39" i="2"/>
  <c r="T38" i="2"/>
  <c r="N38" i="2"/>
  <c r="N33" i="2"/>
  <c r="T32" i="2"/>
  <c r="R32" i="2"/>
  <c r="R34" i="2" s="1"/>
  <c r="P32" i="2"/>
  <c r="P34" i="2" s="1"/>
  <c r="P35" i="2" s="1"/>
  <c r="L32" i="2"/>
  <c r="N32" i="2" s="1"/>
  <c r="J32" i="2"/>
  <c r="H32" i="2"/>
  <c r="H34" i="2" s="1"/>
  <c r="H35" i="2" s="1"/>
  <c r="N31" i="2"/>
  <c r="T30" i="2"/>
  <c r="N30" i="2"/>
  <c r="T29" i="2"/>
  <c r="N29" i="2"/>
  <c r="T28" i="2"/>
  <c r="N28" i="2"/>
  <c r="T27" i="2"/>
  <c r="N27" i="2"/>
  <c r="T26" i="2"/>
  <c r="N26" i="2"/>
  <c r="T25" i="2"/>
  <c r="N25" i="2"/>
  <c r="T24" i="2"/>
  <c r="N24" i="2"/>
  <c r="T23" i="2"/>
  <c r="N23" i="2"/>
  <c r="T22" i="2"/>
  <c r="N22" i="2"/>
  <c r="T20" i="2"/>
  <c r="R20" i="2"/>
  <c r="P20" i="2"/>
  <c r="L20" i="2"/>
  <c r="N20" i="2" s="1"/>
  <c r="J20" i="2"/>
  <c r="H20" i="2"/>
  <c r="N19" i="2"/>
  <c r="T18" i="2"/>
  <c r="N18" i="2"/>
  <c r="T17" i="2"/>
  <c r="N17" i="2"/>
  <c r="T16" i="2"/>
  <c r="N16" i="2"/>
  <c r="T15" i="2"/>
  <c r="N15" i="2"/>
  <c r="T13" i="2"/>
  <c r="R13" i="2"/>
  <c r="P13" i="2"/>
  <c r="L13" i="2"/>
  <c r="L34" i="2" s="1"/>
  <c r="J13" i="2"/>
  <c r="J34" i="2" s="1"/>
  <c r="H13" i="2"/>
  <c r="N12" i="2"/>
  <c r="T11" i="2"/>
  <c r="N11" i="2"/>
  <c r="T10" i="2"/>
  <c r="N10" i="2"/>
  <c r="T9" i="2"/>
  <c r="N9" i="2"/>
  <c r="T8" i="2"/>
  <c r="N8" i="2"/>
  <c r="T7" i="2"/>
  <c r="N7" i="2"/>
  <c r="T6" i="2"/>
  <c r="N6" i="2"/>
  <c r="I84" i="1"/>
  <c r="G84" i="1"/>
  <c r="K84" i="1" s="1"/>
  <c r="K83" i="1"/>
  <c r="K82" i="1"/>
  <c r="K81" i="1"/>
  <c r="K78" i="1"/>
  <c r="I78" i="1"/>
  <c r="G78" i="1"/>
  <c r="K77" i="1"/>
  <c r="K76" i="1"/>
  <c r="G73" i="1"/>
  <c r="I72" i="1"/>
  <c r="I73" i="1" s="1"/>
  <c r="K73" i="1" s="1"/>
  <c r="G72" i="1"/>
  <c r="K72" i="1" s="1"/>
  <c r="K71" i="1"/>
  <c r="K70" i="1"/>
  <c r="K69" i="1"/>
  <c r="K68" i="1"/>
  <c r="K67" i="1"/>
  <c r="K65" i="1"/>
  <c r="K64" i="1"/>
  <c r="K63" i="1"/>
  <c r="K62" i="1"/>
  <c r="I60" i="1"/>
  <c r="G60" i="1"/>
  <c r="K60" i="1" s="1"/>
  <c r="K59" i="1"/>
  <c r="K58" i="1"/>
  <c r="K57" i="1"/>
  <c r="I55" i="1"/>
  <c r="I74" i="1" s="1"/>
  <c r="I79" i="1" s="1"/>
  <c r="I85" i="1" s="1"/>
  <c r="G55" i="1"/>
  <c r="G74" i="1" s="1"/>
  <c r="K54" i="1"/>
  <c r="K48" i="1"/>
  <c r="I48" i="1"/>
  <c r="G48" i="1"/>
  <c r="K47" i="1"/>
  <c r="K46" i="1"/>
  <c r="K42" i="1"/>
  <c r="K41" i="1"/>
  <c r="I41" i="1"/>
  <c r="G41" i="1"/>
  <c r="K40" i="1"/>
  <c r="K39" i="1"/>
  <c r="I37" i="1"/>
  <c r="G37" i="1"/>
  <c r="K37" i="1" s="1"/>
  <c r="K36" i="1"/>
  <c r="K35" i="1"/>
  <c r="I33" i="1"/>
  <c r="G33" i="1"/>
  <c r="K33" i="1" s="1"/>
  <c r="K32" i="1"/>
  <c r="K31" i="1"/>
  <c r="I29" i="1"/>
  <c r="K29" i="1" s="1"/>
  <c r="G29" i="1"/>
  <c r="G43" i="1" s="1"/>
  <c r="K28" i="1"/>
  <c r="K27" i="1"/>
  <c r="I22" i="1"/>
  <c r="K22" i="1" s="1"/>
  <c r="G22" i="1"/>
  <c r="K21" i="1"/>
  <c r="K20" i="1"/>
  <c r="K19" i="1"/>
  <c r="K18" i="1"/>
  <c r="I16" i="1"/>
  <c r="G16" i="1"/>
  <c r="K16" i="1" s="1"/>
  <c r="K15" i="1"/>
  <c r="K14" i="1"/>
  <c r="K13" i="1"/>
  <c r="K12" i="1"/>
  <c r="I10" i="1"/>
  <c r="I23" i="1" s="1"/>
  <c r="G10" i="1"/>
  <c r="G23" i="1" s="1"/>
  <c r="K9" i="1"/>
  <c r="K8" i="1"/>
  <c r="K7" i="1"/>
  <c r="K6" i="1"/>
  <c r="G79" i="1" l="1"/>
  <c r="K74" i="1"/>
  <c r="L35" i="2"/>
  <c r="N34" i="2"/>
  <c r="K23" i="1"/>
  <c r="G44" i="1"/>
  <c r="K43" i="1"/>
  <c r="R129" i="2"/>
  <c r="N127" i="2"/>
  <c r="T34" i="2"/>
  <c r="J35" i="2"/>
  <c r="P128" i="2"/>
  <c r="P129" i="2" s="1"/>
  <c r="P137" i="2" s="1"/>
  <c r="L9" i="3"/>
  <c r="H128" i="2"/>
  <c r="H129" i="2" s="1"/>
  <c r="H137" i="2" s="1"/>
  <c r="M13" i="3"/>
  <c r="K13" i="3"/>
  <c r="L13" i="3" s="1"/>
  <c r="K10" i="1"/>
  <c r="I43" i="1"/>
  <c r="I44" i="1" s="1"/>
  <c r="I49" i="1" s="1"/>
  <c r="K55" i="1"/>
  <c r="J91" i="2"/>
  <c r="T91" i="2" s="1"/>
  <c r="N108" i="2"/>
  <c r="J127" i="2"/>
  <c r="T127" i="2" s="1"/>
  <c r="I11" i="3"/>
  <c r="M12" i="3"/>
  <c r="J21" i="4"/>
  <c r="L91" i="2"/>
  <c r="N91" i="2" s="1"/>
  <c r="G23" i="4"/>
  <c r="I23" i="4" s="1"/>
  <c r="N13" i="2"/>
  <c r="T44" i="2"/>
  <c r="T51" i="2"/>
  <c r="T57" i="2"/>
  <c r="N135" i="2"/>
  <c r="I19" i="3"/>
  <c r="M19" i="3" s="1"/>
  <c r="N44" i="2"/>
  <c r="E15" i="4"/>
  <c r="J128" i="2" l="1"/>
  <c r="T128" i="2" s="1"/>
  <c r="L128" i="2"/>
  <c r="N128" i="2" s="1"/>
  <c r="K44" i="1"/>
  <c r="N35" i="2"/>
  <c r="M11" i="3"/>
  <c r="K11" i="3"/>
  <c r="G49" i="1"/>
  <c r="K49" i="1" s="1"/>
  <c r="G85" i="1"/>
  <c r="K85" i="1" s="1"/>
  <c r="K79" i="1"/>
  <c r="L11" i="3" l="1"/>
  <c r="K19" i="3"/>
  <c r="J129" i="2"/>
  <c r="L129" i="2"/>
  <c r="L137" i="2" l="1"/>
  <c r="N129" i="2"/>
  <c r="T129" i="2"/>
  <c r="J137" i="2"/>
  <c r="N137" i="2" l="1"/>
</calcChain>
</file>

<file path=xl/sharedStrings.xml><?xml version="1.0" encoding="utf-8"?>
<sst xmlns="http://schemas.openxmlformats.org/spreadsheetml/2006/main" count="305" uniqueCount="272">
  <si>
    <t>Jun 30, 16</t>
  </si>
  <si>
    <t>Jun 30, 15</t>
  </si>
  <si>
    <t>$ Change</t>
  </si>
  <si>
    <t>ASSETS</t>
  </si>
  <si>
    <t>Current Assets</t>
  </si>
  <si>
    <t>Checking/Savings</t>
  </si>
  <si>
    <t>1000 · Homestreet Checking Account</t>
  </si>
  <si>
    <t>1005 · Homestreet Restricted Funds</t>
  </si>
  <si>
    <t>1100 · Box Office Till Bank</t>
  </si>
  <si>
    <t>1150 · Union Bank Brokerage</t>
  </si>
  <si>
    <t>Total Checking/Savings</t>
  </si>
  <si>
    <t>Accounts Receivable</t>
  </si>
  <si>
    <t>1200 · Accounts Receivable</t>
  </si>
  <si>
    <t>1210 · Board Giving Receivable</t>
  </si>
  <si>
    <t>1212 · Non Current FY A/R</t>
  </si>
  <si>
    <t>1215 · Bad Debt Allowance</t>
  </si>
  <si>
    <t>Total Accounts Receivable</t>
  </si>
  <si>
    <t>Other Current Assets</t>
  </si>
  <si>
    <t>12000 · Undeposited Funds</t>
  </si>
  <si>
    <t>1510 · Royalties/Materials Deposits</t>
  </si>
  <si>
    <t>1550 · Prepaid Expenses</t>
  </si>
  <si>
    <t>1560 · Concessions Inventory</t>
  </si>
  <si>
    <t>Total Other Current Assets</t>
  </si>
  <si>
    <t>Total Current Assets</t>
  </si>
  <si>
    <t>Fixed Assets</t>
  </si>
  <si>
    <t>1400 · Fixed Assets, Net</t>
  </si>
  <si>
    <t>1410 · Building</t>
  </si>
  <si>
    <t>1431 · Accumulated Depreciation - Bldg</t>
  </si>
  <si>
    <t>1410 · Building - Other</t>
  </si>
  <si>
    <t>Total 1410 · Building</t>
  </si>
  <si>
    <t>1440 · Furniture &amp; Equipment</t>
  </si>
  <si>
    <t>1441 · Acc. Depreciation - Furn &amp; Equi</t>
  </si>
  <si>
    <t>1440 · Furniture &amp; Equipment - Other</t>
  </si>
  <si>
    <t>Total 1440 · Furniture &amp; Equipment</t>
  </si>
  <si>
    <t>1445 · Marquee/Signage</t>
  </si>
  <si>
    <t>1446 · Acc. Depreciation - Marquee</t>
  </si>
  <si>
    <t>1445 · Marquee/Signage - Other</t>
  </si>
  <si>
    <t>Total 1445 · Marquee/Signage</t>
  </si>
  <si>
    <t>1447 · Full Speed Ahead Improvements</t>
  </si>
  <si>
    <t>1448 · Acc. Depreciation - FSA</t>
  </si>
  <si>
    <t>1447 · Full Speed Ahead Improvements - Other</t>
  </si>
  <si>
    <t>Total 1447 · Full Speed Ahead Improvements</t>
  </si>
  <si>
    <t>1450 · Land</t>
  </si>
  <si>
    <t>Total 1400 · Fixed Assets, Net</t>
  </si>
  <si>
    <t>Total Fixed Assets</t>
  </si>
  <si>
    <t>Other Assets</t>
  </si>
  <si>
    <t>1515 · Royalty/Materials Dep. Next FY</t>
  </si>
  <si>
    <t>1555 · Storage Facility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</si>
  <si>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</si>
  <si>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</si>
  <si>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</si>
  <si>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</si>
  <si>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</si>
  <si>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</si>
  <si>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</si>
  <si>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</si>
  <si>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</si>
  <si>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2011 · Home Depot CC</t>
  </si>
  <si>
    <t>2012 · AmericanWest CC</t>
  </si>
  <si>
    <t>2015 · Elan Credit Card</t>
  </si>
  <si>
    <t>Total Credit Cards</t>
  </si>
  <si>
    <t>Other Current Liabilities</t>
  </si>
  <si>
    <t>2020 · Sales Tax Payable</t>
  </si>
  <si>
    <t>2100 · Payroll Liabilities</t>
  </si>
  <si>
    <t>2110 · Direct Deposit Liabilities</t>
  </si>
  <si>
    <t>2120 · Wage Garnishment</t>
  </si>
  <si>
    <t>2200 · Deferred Revenue</t>
  </si>
  <si>
    <t>2201 · Subs Current Season</t>
  </si>
  <si>
    <t>2202 · Subs Next Season</t>
  </si>
  <si>
    <t>2203 · Single Tickets Current Season</t>
  </si>
  <si>
    <t>2204 · Single Tickets Next Season</t>
  </si>
  <si>
    <t>2205 · Tuition This Fiscal Year</t>
  </si>
  <si>
    <t>Total 2200 · Deferred Revenue</t>
  </si>
  <si>
    <t>Total Other Current Liabilities</t>
  </si>
  <si>
    <t>Total Current Liabilities</t>
  </si>
  <si>
    <t>Long Term Liabilities</t>
  </si>
  <si>
    <t>2300 · Note Payable - Koch</t>
  </si>
  <si>
    <t>2310 · JUDSTER LLC 250K LOC</t>
  </si>
  <si>
    <t>Total Long Term Liabilities</t>
  </si>
  <si>
    <t>Total Liabilities</t>
  </si>
  <si>
    <t>Equity</t>
  </si>
  <si>
    <t>3130 · Temp. Restricted Net Assets</t>
  </si>
  <si>
    <t>3200 · Unrestricted Net Assets</t>
  </si>
  <si>
    <t>Net Income</t>
  </si>
  <si>
    <t>Total Equity</t>
  </si>
  <si>
    <t>TOTAL LIABILITIES &amp; EQUITY</t>
  </si>
  <si>
    <t>Jun 16</t>
  </si>
  <si>
    <t>Sep '15 - Jun 16</t>
  </si>
  <si>
    <t>YTD Budget</t>
  </si>
  <si>
    <t>% of Budget</t>
  </si>
  <si>
    <t>Annual Budget</t>
  </si>
  <si>
    <t>6mo projected</t>
  </si>
  <si>
    <t>Ordinary Income/Expense</t>
  </si>
  <si>
    <t>Income</t>
  </si>
  <si>
    <t>4000 · Program Income</t>
  </si>
  <si>
    <t>4005 · Subscriptions</t>
  </si>
  <si>
    <t>4010 · Single Tickets</t>
  </si>
  <si>
    <t>4011 · Gift Certificates</t>
  </si>
  <si>
    <t>4012 · Ticketing Fees</t>
  </si>
  <si>
    <t>4013 · Tuition</t>
  </si>
  <si>
    <t>4015 · Rental Income</t>
  </si>
  <si>
    <t>4020 · Retail Sales</t>
  </si>
  <si>
    <t>Total 4000 · Program Income</t>
  </si>
  <si>
    <t>4200 · Other Income</t>
  </si>
  <si>
    <t>4201 · Other Events</t>
  </si>
  <si>
    <t>4205 · Advertising</t>
  </si>
  <si>
    <t>4215 · Concessions</t>
  </si>
  <si>
    <t>4290 · Interest</t>
  </si>
  <si>
    <t>4200 · Other Income - Other</t>
  </si>
  <si>
    <t>Total 4200 · Other Income</t>
  </si>
  <si>
    <t>4400 · Contributed Income</t>
  </si>
  <si>
    <t>4405 · Corporations</t>
  </si>
  <si>
    <t>4410 · Foundations</t>
  </si>
  <si>
    <t>4415 · Government</t>
  </si>
  <si>
    <t>4420 · Board Giving</t>
  </si>
  <si>
    <t>4425 · Major Gifts ($1000+)</t>
  </si>
  <si>
    <t>4430 · Matching Gifts</t>
  </si>
  <si>
    <t>4435 · United Way, Federated Cont.</t>
  </si>
  <si>
    <t>4460 · Individual Contributions</t>
  </si>
  <si>
    <t>4465 · Events</t>
  </si>
  <si>
    <t>4470 · In-Kind Contributions</t>
  </si>
  <si>
    <t>Total 4400 · Contributed Income</t>
  </si>
  <si>
    <t>4600 · Release of Restricted Income</t>
  </si>
  <si>
    <t>Total Income</t>
  </si>
  <si>
    <t>Gross Profit</t>
  </si>
  <si>
    <t>Expense</t>
  </si>
  <si>
    <t>6001 · Payroll Expenses</t>
  </si>
  <si>
    <t>6010 · Wages</t>
  </si>
  <si>
    <t>6020 · Payroll Taxes</t>
  </si>
  <si>
    <t>6030 · Medical/Dental Benefits</t>
  </si>
  <si>
    <t>6040 · AEA Expenses</t>
  </si>
  <si>
    <t>6045 · Payroll Fees</t>
  </si>
  <si>
    <t>6001 · Payroll Expenses - Other</t>
  </si>
  <si>
    <t>Total 6001 · Payroll Expenses</t>
  </si>
  <si>
    <t>6002 · Occupancy Expense</t>
  </si>
  <si>
    <t>6050 · Janitorial Expenses</t>
  </si>
  <si>
    <t>6060 · Utilities</t>
  </si>
  <si>
    <t>6080 · Repairs &amp; Maintenance</t>
  </si>
  <si>
    <t>6085 · Rent Expense</t>
  </si>
  <si>
    <t>6088 · Theatre Equipment</t>
  </si>
  <si>
    <t>Total 6002 · Occupancy Expense</t>
  </si>
  <si>
    <t>6003 · Production</t>
  </si>
  <si>
    <t>6090 · Bank &amp; Service Charges</t>
  </si>
  <si>
    <t>6190 · Food &amp; Beverage</t>
  </si>
  <si>
    <t>6190a · In-Kind Food &amp; Beverage</t>
  </si>
  <si>
    <t>6190 · Food &amp; Beverage - Other</t>
  </si>
  <si>
    <t>Total 6190 · Food &amp; Beverage</t>
  </si>
  <si>
    <t>6500 · Production Professional Fees</t>
  </si>
  <si>
    <t>6200 · Design Fees</t>
  </si>
  <si>
    <t>6505 · Directors</t>
  </si>
  <si>
    <t>6510 · Musical Directors</t>
  </si>
  <si>
    <t>6515 · Lighting Designers</t>
  </si>
  <si>
    <t>6516 · Master Electricians</t>
  </si>
  <si>
    <t>6520 · Set Designers</t>
  </si>
  <si>
    <t>6525 · Costume Designers</t>
  </si>
  <si>
    <t>6530 · Sound Designers</t>
  </si>
  <si>
    <t>6535 · Other Professional Fees</t>
  </si>
  <si>
    <t>6545 · Musicians</t>
  </si>
  <si>
    <t>6550 · Choreographers</t>
  </si>
  <si>
    <t>6555 · Teaching Artists</t>
  </si>
  <si>
    <t>Total 6500 · Production Professional Fees</t>
  </si>
  <si>
    <t>6600 · Royalties</t>
  </si>
  <si>
    <t>6605 · Scripts/Perusals</t>
  </si>
  <si>
    <t>6610 · Costumes/Makeup/Wigs</t>
  </si>
  <si>
    <t>6615 · Sets/Props/Dressings</t>
  </si>
  <si>
    <t>6615a · In Kind Sets/Props/Dressings</t>
  </si>
  <si>
    <t>6615 · Sets/Props/Dressings - Other</t>
  </si>
  <si>
    <t>Total 6615 · Sets/Props/Dressings</t>
  </si>
  <si>
    <t>6620 · Lighting</t>
  </si>
  <si>
    <t>6625 · Sound</t>
  </si>
  <si>
    <t>6630 · Video</t>
  </si>
  <si>
    <t>6635 · Equipment Rentals</t>
  </si>
  <si>
    <t>6640 · Special Effects/Misc</t>
  </si>
  <si>
    <t>6645 · Auditions/Rehearsal/Meet Space</t>
  </si>
  <si>
    <t>6650 · Cast &amp; Crew Hospitality</t>
  </si>
  <si>
    <t>6655 · Shop Supplies</t>
  </si>
  <si>
    <t>6655a · In-Kind Shop Supplies</t>
  </si>
  <si>
    <t>6655 · Shop Supplies - Other</t>
  </si>
  <si>
    <t>Total 6655 · Shop Supplies</t>
  </si>
  <si>
    <t>6660 · Theatre Equipment</t>
  </si>
  <si>
    <t>Total 6003 · Production</t>
  </si>
  <si>
    <t>6004 · Marketing</t>
  </si>
  <si>
    <t>6305 · Print Ads</t>
  </si>
  <si>
    <t>6310 · Web/Email Ads</t>
  </si>
  <si>
    <t>6315 · Transit/Outdoor Ads</t>
  </si>
  <si>
    <t>6320 · Radio Ads</t>
  </si>
  <si>
    <t>6325 · Other Advertising</t>
  </si>
  <si>
    <t>6350 · Printed Materials</t>
  </si>
  <si>
    <t>6350a · In-Kind Printed Materials</t>
  </si>
  <si>
    <t>6350 · Printed Materials - Other</t>
  </si>
  <si>
    <t>Total 6350 · Printed Materials</t>
  </si>
  <si>
    <t>Total 6004 · Marketing</t>
  </si>
  <si>
    <t>6005 · Administration</t>
  </si>
  <si>
    <t>6100 · Licenses &amp; Permits</t>
  </si>
  <si>
    <t>6110 · Communications</t>
  </si>
  <si>
    <t>6111 · Telephone/Internet</t>
  </si>
  <si>
    <t>6112 · Computer Supplies &amp; Software</t>
  </si>
  <si>
    <t>Total 6110 · Communications</t>
  </si>
  <si>
    <t>6120 · Insurance - business</t>
  </si>
  <si>
    <t>6130 · Postage</t>
  </si>
  <si>
    <t>6140 · Legal &amp; Accounting Fees</t>
  </si>
  <si>
    <t>6140a · In-Kind Legal &amp; Accounting Fee</t>
  </si>
  <si>
    <t>6140 · Legal &amp; Accounting Fees - Other</t>
  </si>
  <si>
    <t>Total 6140 · Legal &amp; Accounting Fees</t>
  </si>
  <si>
    <t>6145 · Processing Fees</t>
  </si>
  <si>
    <t>6150 · Memberships &amp; Dues</t>
  </si>
  <si>
    <t>6155 · Training</t>
  </si>
  <si>
    <t>6160 · Consulting Fees</t>
  </si>
  <si>
    <t>6170 · Supplies</t>
  </si>
  <si>
    <t>6180 · Taxes</t>
  </si>
  <si>
    <t>6193 · Travel</t>
  </si>
  <si>
    <t>6195 · Interest</t>
  </si>
  <si>
    <t>6400 · Commissions</t>
  </si>
  <si>
    <t>6599 · In-Kind  Administration</t>
  </si>
  <si>
    <t>66900 · Reconciliation Discrepancies</t>
  </si>
  <si>
    <t>6920 · Bad Debt Expense</t>
  </si>
  <si>
    <t>Total 6005 · Administration</t>
  </si>
  <si>
    <t>Total Expense</t>
  </si>
  <si>
    <t>Net Ordinary Income</t>
  </si>
  <si>
    <t>Other Income/Expense</t>
  </si>
  <si>
    <t>Other Income</t>
  </si>
  <si>
    <t>8100 · Temp. Restricted for Purpose</t>
  </si>
  <si>
    <t>8110 · Temp. Restricted for Time</t>
  </si>
  <si>
    <t>8120 · Restriction Released</t>
  </si>
  <si>
    <t>Total Other Income</t>
  </si>
  <si>
    <t>Net Other Income</t>
  </si>
  <si>
    <t>ARTSWEST</t>
  </si>
  <si>
    <t>hide</t>
  </si>
  <si>
    <t>Contributed Revenue</t>
  </si>
  <si>
    <t>June 30, 2016</t>
  </si>
  <si>
    <t>FY 2014</t>
  </si>
  <si>
    <t>FY 2016</t>
  </si>
  <si>
    <t>Release of</t>
  </si>
  <si>
    <t xml:space="preserve">as of </t>
  </si>
  <si>
    <t>8 mos</t>
  </si>
  <si>
    <t>Temp</t>
  </si>
  <si>
    <t>FYE 2016</t>
  </si>
  <si>
    <t>Budget</t>
  </si>
  <si>
    <t>YOY</t>
  </si>
  <si>
    <t>% of</t>
  </si>
  <si>
    <t>Restr.</t>
  </si>
  <si>
    <t>Unrestricted</t>
  </si>
  <si>
    <t>Total</t>
  </si>
  <si>
    <t>Revenue</t>
  </si>
  <si>
    <t xml:space="preserve">Total </t>
  </si>
  <si>
    <t>FYE 8/31/16</t>
  </si>
  <si>
    <t>$ change</t>
  </si>
  <si>
    <t>% change</t>
  </si>
  <si>
    <t>budget</t>
  </si>
  <si>
    <t>*Major Gifts - in FYE 15 we released the majority of the Marketing and Infrastructure one-time grant</t>
  </si>
  <si>
    <t>**GALA booked here until dispersed</t>
  </si>
  <si>
    <t>Ticket Sales</t>
  </si>
  <si>
    <t>#</t>
  </si>
  <si>
    <t>Actual</t>
  </si>
  <si>
    <t xml:space="preserve">Perf. </t>
  </si>
  <si>
    <t>No.</t>
  </si>
  <si>
    <t>$$$</t>
  </si>
  <si>
    <t>Projection</t>
  </si>
  <si>
    <t>Avg $/tick</t>
  </si>
  <si>
    <t>15|16 Season</t>
  </si>
  <si>
    <t>American Idiot</t>
  </si>
  <si>
    <t>My Manana Comes</t>
  </si>
  <si>
    <t>Wonderful Life</t>
  </si>
  <si>
    <t>Really Really</t>
  </si>
  <si>
    <t>Violet</t>
  </si>
  <si>
    <t>*projected budget at 6 mos. = $42,000</t>
  </si>
  <si>
    <t>Death of a Salesman</t>
  </si>
  <si>
    <t>*projected budget at 6 mos. = $34,000</t>
  </si>
  <si>
    <t>Single Tickets</t>
  </si>
  <si>
    <t>Regular Subs</t>
  </si>
  <si>
    <t>Marquee Club Subs</t>
  </si>
  <si>
    <t>Total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</si>
</sst>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.0#%;\-#,##0.0#%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sz val="10"/>
      <name val="Geneva"/>
    </font>
    <font>
      <sz val="12"/>
      <name val="Geneva"/>
    </font>
    <font>
      <sz val="14"/>
      <color indexed="10"/>
      <name val="Geneva"/>
    </font>
    <font>
      <b/>
      <sz val="12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 Narrow"/>
      <family val="2"/>
    </font>
    <font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3" fillId="0" borderId="0"/>
    <xf numFmtId="0" fontId="20" fillId="0" borderId="0"/>
  </cellStyleXfs>
  <cellXfs count="133">
    <xf numFmtId="0" fontId="0" fillId="0" borderId="0" xfId="0"/>
    <xf numFmtId="49" fontId="2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9" fontId="3" fillId="0" borderId="0" xfId="0" applyNumberFormat="1" applyFont="1"/>
    <xf numFmtId="49" fontId="3" fillId="0" borderId="0" xfId="0" applyNumberFormat="1" applyFont="1"/>
    <xf numFmtId="39" fontId="3" fillId="0" borderId="3" xfId="0" applyNumberFormat="1" applyFont="1" applyBorder="1"/>
    <xf numFmtId="39" fontId="3" fillId="0" borderId="0" xfId="0" applyNumberFormat="1" applyFont="1" applyBorder="1"/>
    <xf numFmtId="39" fontId="3" fillId="0" borderId="4" xfId="0" applyNumberFormat="1" applyFont="1" applyBorder="1"/>
    <xf numFmtId="39" fontId="3" fillId="0" borderId="5" xfId="0" applyNumberFormat="1" applyFont="1" applyBorder="1"/>
    <xf numFmtId="39" fontId="2" fillId="0" borderId="6" xfId="0" applyNumberFormat="1" applyFont="1" applyBorder="1"/>
    <xf numFmtId="0" fontId="2" fillId="0" borderId="0" xfId="0" applyFont="1"/>
    <xf numFmtId="0" fontId="2" fillId="0" borderId="0" xfId="0" applyNumberFormat="1" applyFont="1"/>
    <xf numFmtId="0" fontId="0" fillId="0" borderId="0" xfId="0" applyNumberFormat="1"/>
    <xf numFmtId="0" fontId="0" fillId="0" borderId="1" xfId="0" applyBorder="1"/>
    <xf numFmtId="0" fontId="4" fillId="0" borderId="7" xfId="0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43" fontId="5" fillId="0" borderId="0" xfId="4" applyFont="1"/>
    <xf numFmtId="164" fontId="3" fillId="0" borderId="3" xfId="0" applyNumberFormat="1" applyFont="1" applyBorder="1"/>
    <xf numFmtId="165" fontId="3" fillId="0" borderId="3" xfId="0" applyNumberFormat="1" applyFont="1" applyBorder="1"/>
    <xf numFmtId="43" fontId="5" fillId="0" borderId="3" xfId="4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43" fontId="5" fillId="0" borderId="0" xfId="0" applyNumberFormat="1" applyFont="1"/>
    <xf numFmtId="43" fontId="5" fillId="0" borderId="0" xfId="4" applyFont="1" applyFill="1"/>
    <xf numFmtId="0" fontId="5" fillId="0" borderId="0" xfId="0" applyFont="1"/>
    <xf numFmtId="43" fontId="5" fillId="0" borderId="0" xfId="4" applyFont="1" applyBorder="1"/>
    <xf numFmtId="0" fontId="0" fillId="0" borderId="0" xfId="0" applyBorder="1"/>
    <xf numFmtId="43" fontId="5" fillId="0" borderId="0" xfId="4" applyFont="1" applyFill="1" applyBorder="1"/>
    <xf numFmtId="43" fontId="5" fillId="0" borderId="3" xfId="4" applyFont="1" applyFill="1" applyBorder="1"/>
    <xf numFmtId="3" fontId="5" fillId="0" borderId="0" xfId="0" applyNumberFormat="1" applyFont="1"/>
    <xf numFmtId="3" fontId="5" fillId="0" borderId="3" xfId="0" applyNumberFormat="1" applyFont="1" applyBorder="1"/>
    <xf numFmtId="166" fontId="5" fillId="0" borderId="4" xfId="4" applyNumberFormat="1" applyFont="1" applyBorder="1"/>
    <xf numFmtId="165" fontId="3" fillId="0" borderId="5" xfId="0" applyNumberFormat="1" applyFont="1" applyBorder="1"/>
    <xf numFmtId="164" fontId="3" fillId="0" borderId="5" xfId="0" applyNumberFormat="1" applyFont="1" applyBorder="1"/>
    <xf numFmtId="43" fontId="5" fillId="0" borderId="4" xfId="4" applyFont="1" applyBorder="1"/>
    <xf numFmtId="0" fontId="0" fillId="0" borderId="8" xfId="0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0" fontId="7" fillId="0" borderId="0" xfId="5" applyFont="1"/>
    <xf numFmtId="0" fontId="6" fillId="0" borderId="0" xfId="5"/>
    <xf numFmtId="0" fontId="6" fillId="0" borderId="0" xfId="5" applyNumberFormat="1"/>
    <xf numFmtId="49" fontId="7" fillId="0" borderId="0" xfId="5" applyNumberFormat="1" applyFont="1" applyFill="1"/>
    <xf numFmtId="0" fontId="6" fillId="0" borderId="0" xfId="5" applyFill="1"/>
    <xf numFmtId="0" fontId="8" fillId="0" borderId="0" xfId="5" applyNumberFormat="1" applyFont="1" applyAlignment="1">
      <alignment horizontal="center"/>
    </xf>
    <xf numFmtId="0" fontId="9" fillId="0" borderId="0" xfId="5" applyNumberFormat="1" applyFont="1" applyAlignment="1">
      <alignment horizontal="center"/>
    </xf>
    <xf numFmtId="0" fontId="10" fillId="0" borderId="0" xfId="5" applyNumberFormat="1" applyFont="1" applyAlignment="1">
      <alignment horizontal="center"/>
    </xf>
    <xf numFmtId="0" fontId="8" fillId="0" borderId="0" xfId="5" applyNumberFormat="1" applyFont="1" applyBorder="1" applyAlignment="1">
      <alignment horizontal="center"/>
    </xf>
    <xf numFmtId="0" fontId="10" fillId="0" borderId="0" xfId="5" applyNumberFormat="1" applyFont="1" applyFill="1" applyBorder="1" applyAlignment="1">
      <alignment horizontal="center"/>
    </xf>
    <xf numFmtId="0" fontId="10" fillId="0" borderId="0" xfId="5" applyNumberFormat="1" applyFont="1" applyBorder="1" applyAlignment="1">
      <alignment horizontal="center"/>
    </xf>
    <xf numFmtId="14" fontId="10" fillId="0" borderId="0" xfId="5" applyNumberFormat="1" applyFont="1" applyFill="1" applyBorder="1" applyAlignment="1">
      <alignment horizontal="center"/>
    </xf>
    <xf numFmtId="16" fontId="10" fillId="0" borderId="0" xfId="5" applyNumberFormat="1" applyFont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8" fillId="0" borderId="9" xfId="5" applyNumberFormat="1" applyFont="1" applyBorder="1" applyAlignment="1">
      <alignment horizontal="center"/>
    </xf>
    <xf numFmtId="0" fontId="10" fillId="0" borderId="9" xfId="5" applyNumberFormat="1" applyFont="1" applyFill="1" applyBorder="1" applyAlignment="1">
      <alignment horizontal="center"/>
    </xf>
    <xf numFmtId="0" fontId="10" fillId="0" borderId="9" xfId="5" applyNumberFormat="1" applyFont="1" applyBorder="1" applyAlignment="1">
      <alignment horizontal="center"/>
    </xf>
    <xf numFmtId="0" fontId="10" fillId="0" borderId="9" xfId="5" applyFont="1" applyBorder="1" applyAlignment="1">
      <alignment horizontal="center"/>
    </xf>
    <xf numFmtId="0" fontId="6" fillId="0" borderId="10" xfId="5" applyNumberFormat="1" applyBorder="1"/>
    <xf numFmtId="0" fontId="6" fillId="0" borderId="0" xfId="5" applyNumberFormat="1" applyFill="1"/>
    <xf numFmtId="49" fontId="11" fillId="0" borderId="0" xfId="5" applyNumberFormat="1" applyFont="1"/>
    <xf numFmtId="0" fontId="11" fillId="0" borderId="0" xfId="5" applyNumberFormat="1" applyFont="1"/>
    <xf numFmtId="0" fontId="7" fillId="0" borderId="0" xfId="5" applyNumberFormat="1" applyFont="1"/>
    <xf numFmtId="0" fontId="7" fillId="0" borderId="11" xfId="5" applyNumberFormat="1" applyFont="1" applyBorder="1"/>
    <xf numFmtId="0" fontId="7" fillId="0" borderId="0" xfId="5" applyNumberFormat="1" applyFont="1" applyFill="1"/>
    <xf numFmtId="167" fontId="11" fillId="0" borderId="0" xfId="2" applyNumberFormat="1" applyFont="1"/>
    <xf numFmtId="167" fontId="11" fillId="0" borderId="0" xfId="2" applyNumberFormat="1" applyFont="1" applyBorder="1"/>
    <xf numFmtId="167" fontId="7" fillId="0" borderId="11" xfId="2" applyNumberFormat="1" applyFont="1" applyBorder="1"/>
    <xf numFmtId="167" fontId="7" fillId="0" borderId="0" xfId="2" applyNumberFormat="1" applyFont="1"/>
    <xf numFmtId="167" fontId="11" fillId="0" borderId="0" xfId="2" applyNumberFormat="1" applyFont="1" applyFill="1"/>
    <xf numFmtId="9" fontId="7" fillId="0" borderId="0" xfId="3" applyFont="1"/>
    <xf numFmtId="168" fontId="6" fillId="0" borderId="0" xfId="3" applyNumberFormat="1"/>
    <xf numFmtId="167" fontId="7" fillId="2" borderId="11" xfId="2" applyNumberFormat="1" applyFont="1" applyFill="1" applyBorder="1"/>
    <xf numFmtId="167" fontId="11" fillId="0" borderId="9" xfId="2" applyNumberFormat="1" applyFont="1" applyBorder="1"/>
    <xf numFmtId="167" fontId="7" fillId="0" borderId="12" xfId="2" applyNumberFormat="1" applyFont="1" applyBorder="1"/>
    <xf numFmtId="167" fontId="7" fillId="0" borderId="13" xfId="2" applyNumberFormat="1" applyFont="1" applyBorder="1"/>
    <xf numFmtId="167" fontId="11" fillId="0" borderId="9" xfId="2" applyNumberFormat="1" applyFont="1" applyFill="1" applyBorder="1"/>
    <xf numFmtId="167" fontId="7" fillId="0" borderId="9" xfId="2" applyNumberFormat="1" applyFont="1" applyBorder="1"/>
    <xf numFmtId="167" fontId="11" fillId="0" borderId="14" xfId="2" applyNumberFormat="1" applyFont="1" applyBorder="1"/>
    <xf numFmtId="167" fontId="11" fillId="0" borderId="15" xfId="2" applyNumberFormat="1" applyFont="1" applyBorder="1"/>
    <xf numFmtId="167" fontId="11" fillId="0" borderId="15" xfId="2" applyNumberFormat="1" applyFont="1" applyFill="1" applyBorder="1"/>
    <xf numFmtId="9" fontId="11" fillId="0" borderId="0" xfId="3" applyFont="1" applyBorder="1"/>
    <xf numFmtId="0" fontId="12" fillId="0" borderId="0" xfId="5" applyFont="1"/>
    <xf numFmtId="0" fontId="12" fillId="0" borderId="0" xfId="5" applyNumberFormat="1" applyFont="1"/>
    <xf numFmtId="167" fontId="12" fillId="0" borderId="0" xfId="5" applyNumberFormat="1" applyFont="1"/>
    <xf numFmtId="0" fontId="6" fillId="2" borderId="0" xfId="5" applyFill="1"/>
    <xf numFmtId="0" fontId="14" fillId="0" borderId="0" xfId="6" applyFont="1"/>
    <xf numFmtId="0" fontId="13" fillId="0" borderId="0" xfId="6" applyFont="1"/>
    <xf numFmtId="0" fontId="15" fillId="0" borderId="0" xfId="6" applyFont="1"/>
    <xf numFmtId="14" fontId="16" fillId="0" borderId="0" xfId="6" applyNumberFormat="1" applyFont="1" applyAlignment="1">
      <alignment horizontal="left"/>
    </xf>
    <xf numFmtId="0" fontId="17" fillId="0" borderId="0" xfId="6" applyFont="1"/>
    <xf numFmtId="0" fontId="18" fillId="0" borderId="0" xfId="6" applyFont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0" fontId="18" fillId="0" borderId="9" xfId="6" applyFont="1" applyBorder="1" applyAlignment="1">
      <alignment horizontal="center"/>
    </xf>
    <xf numFmtId="0" fontId="18" fillId="0" borderId="9" xfId="6" applyFont="1" applyFill="1" applyBorder="1" applyAlignment="1">
      <alignment horizontal="center"/>
    </xf>
    <xf numFmtId="0" fontId="19" fillId="0" borderId="0" xfId="6" applyFont="1"/>
    <xf numFmtId="0" fontId="18" fillId="0" borderId="0" xfId="6" applyFont="1" applyAlignment="1">
      <alignment horizontal="center"/>
    </xf>
    <xf numFmtId="0" fontId="17" fillId="0" borderId="0" xfId="6" quotePrefix="1" applyFont="1"/>
    <xf numFmtId="0" fontId="17" fillId="0" borderId="0" xfId="7" applyFont="1"/>
    <xf numFmtId="0" fontId="17" fillId="0" borderId="0" xfId="7" applyFont="1" applyAlignment="1">
      <alignment horizontal="center"/>
    </xf>
    <xf numFmtId="166" fontId="17" fillId="0" borderId="0" xfId="1" applyNumberFormat="1" applyFont="1"/>
    <xf numFmtId="9" fontId="17" fillId="0" borderId="0" xfId="3" applyNumberFormat="1" applyFont="1" applyBorder="1"/>
    <xf numFmtId="168" fontId="17" fillId="0" borderId="0" xfId="3" applyNumberFormat="1" applyFont="1" applyBorder="1"/>
    <xf numFmtId="167" fontId="17" fillId="0" borderId="0" xfId="2" applyNumberFormat="1" applyFont="1"/>
    <xf numFmtId="9" fontId="17" fillId="0" borderId="0" xfId="3" applyFont="1"/>
    <xf numFmtId="44" fontId="17" fillId="0" borderId="0" xfId="2" applyFont="1"/>
    <xf numFmtId="0" fontId="17" fillId="0" borderId="0" xfId="6" applyFont="1" applyAlignment="1">
      <alignment horizontal="center"/>
    </xf>
    <xf numFmtId="0" fontId="17" fillId="0" borderId="0" xfId="6" applyFont="1" applyBorder="1"/>
    <xf numFmtId="0" fontId="18" fillId="0" borderId="0" xfId="7" applyFont="1"/>
    <xf numFmtId="0" fontId="18" fillId="0" borderId="7" xfId="7" applyFont="1" applyBorder="1" applyAlignment="1">
      <alignment horizontal="center"/>
    </xf>
    <xf numFmtId="166" fontId="18" fillId="0" borderId="7" xfId="1" applyNumberFormat="1" applyFont="1" applyBorder="1"/>
    <xf numFmtId="0" fontId="18" fillId="0" borderId="0" xfId="6" applyFont="1" applyBorder="1"/>
    <xf numFmtId="167" fontId="18" fillId="0" borderId="7" xfId="2" applyNumberFormat="1" applyFont="1" applyBorder="1"/>
    <xf numFmtId="9" fontId="18" fillId="0" borderId="0" xfId="3" applyFont="1"/>
    <xf numFmtId="44" fontId="18" fillId="0" borderId="0" xfId="2" applyFont="1"/>
    <xf numFmtId="0" fontId="21" fillId="0" borderId="0" xfId="6" applyFont="1"/>
    <xf numFmtId="0" fontId="18" fillId="0" borderId="0" xfId="7" applyFont="1" applyAlignment="1">
      <alignment horizontal="center"/>
    </xf>
    <xf numFmtId="166" fontId="18" fillId="0" borderId="0" xfId="1" applyNumberFormat="1" applyFont="1" applyBorder="1"/>
    <xf numFmtId="167" fontId="18" fillId="0" borderId="0" xfId="2" applyNumberFormat="1" applyFont="1" applyBorder="1"/>
    <xf numFmtId="0" fontId="18" fillId="0" borderId="0" xfId="6" applyFont="1"/>
    <xf numFmtId="9" fontId="18" fillId="0" borderId="0" xfId="3" applyNumberFormat="1" applyFont="1" applyBorder="1"/>
    <xf numFmtId="168" fontId="18" fillId="0" borderId="0" xfId="3" applyNumberFormat="1" applyFont="1" applyBorder="1"/>
    <xf numFmtId="9" fontId="18" fillId="0" borderId="0" xfId="6" applyNumberFormat="1" applyFont="1"/>
    <xf numFmtId="167" fontId="18" fillId="0" borderId="0" xfId="6" applyNumberFormat="1" applyFont="1" applyBorder="1" applyAlignment="1">
      <alignment horizontal="right"/>
    </xf>
    <xf numFmtId="0" fontId="18" fillId="0" borderId="7" xfId="6" applyFont="1" applyBorder="1" applyAlignment="1">
      <alignment horizontal="right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5"/>
    <cellStyle name="Normal_SINGLE_1" xfId="7"/>
    <cellStyle name="Normal_Ticket sales 12.31.11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rtsWest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l/Desktop/6.30.16_Fin_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AY2DAY"/>
      <sheetName val="Report 2011-2012"/>
      <sheetName val="Sub vs Sub"/>
      <sheetName val="Sales by Production and Year"/>
      <sheetName val="Regular Season Grosses"/>
      <sheetName val="Report 2006-07"/>
      <sheetName val="Report 2007-08"/>
      <sheetName val="Report 2008-09"/>
      <sheetName val="Report 2009-10"/>
      <sheetName val="Report 2010-2011"/>
      <sheetName val="MASTER (1)"/>
      <sheetName val="Chart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FY2006-07 FINAL</v>
          </cell>
          <cell r="B1" t="str">
            <v>#</v>
          </cell>
          <cell r="C1" t="str">
            <v>$$$</v>
          </cell>
          <cell r="D1" t="str">
            <v>GOAL</v>
          </cell>
          <cell r="E1" t="str">
            <v>To GOAL</v>
          </cell>
          <cell r="F1" t="str">
            <v>Pct of 
GOAL</v>
          </cell>
          <cell r="G1" t="str">
            <v>FORECAST</v>
          </cell>
          <cell r="H1" t="str">
            <v>To 
FORECAST</v>
          </cell>
          <cell r="I1" t="str">
            <v>Pct of 
FORECAST</v>
          </cell>
          <cell r="J1" t="str">
            <v>Difference
between
FORECAST 
&amp; GOAL</v>
          </cell>
          <cell r="K1" t="str">
            <v>Daily Avg
needed to
GOAL</v>
          </cell>
          <cell r="L1" t="str">
            <v>Daily Avg
needed to
FORECAST</v>
          </cell>
        </row>
        <row r="2">
          <cell r="A2" t="str">
            <v>FY 2005-06</v>
          </cell>
        </row>
        <row r="3">
          <cell r="A3" t="str">
            <v>A CHORUS LINE</v>
          </cell>
          <cell r="B3">
            <v>886</v>
          </cell>
          <cell r="C3">
            <v>15588</v>
          </cell>
          <cell r="D3">
            <v>11106.666666666666</v>
          </cell>
          <cell r="E3">
            <v>4481.3333333333339</v>
          </cell>
          <cell r="F3">
            <v>1.4034813925570229</v>
          </cell>
          <cell r="G3">
            <v>15588</v>
          </cell>
          <cell r="H3">
            <v>0</v>
          </cell>
          <cell r="I3">
            <v>1</v>
          </cell>
          <cell r="J3">
            <v>4481.3333333333339</v>
          </cell>
          <cell r="K3" t="str">
            <v>--</v>
          </cell>
          <cell r="L3" t="str">
            <v>--</v>
          </cell>
        </row>
        <row r="4">
          <cell r="A4" t="str">
            <v>ANNIE</v>
          </cell>
          <cell r="B4">
            <v>749</v>
          </cell>
          <cell r="C4">
            <v>5744</v>
          </cell>
          <cell r="D4">
            <v>5553.333333333333</v>
          </cell>
          <cell r="E4">
            <v>190.66666666666697</v>
          </cell>
          <cell r="F4">
            <v>1.0343337334933975</v>
          </cell>
          <cell r="G4">
            <v>5744</v>
          </cell>
          <cell r="H4">
            <v>0</v>
          </cell>
          <cell r="I4">
            <v>1</v>
          </cell>
          <cell r="J4">
            <v>190.66666666666697</v>
          </cell>
          <cell r="K4" t="str">
            <v>--</v>
          </cell>
          <cell r="L4" t="str">
            <v>--</v>
          </cell>
        </row>
        <row r="5">
          <cell r="A5" t="str">
            <v>BLOOD BROTHERS</v>
          </cell>
          <cell r="B5">
            <v>992</v>
          </cell>
          <cell r="C5">
            <v>18700</v>
          </cell>
          <cell r="D5">
            <v>14078.579999999998</v>
          </cell>
          <cell r="E5">
            <v>4621.4200000000019</v>
          </cell>
          <cell r="F5">
            <v>1.3282589579346782</v>
          </cell>
          <cell r="G5">
            <v>18700</v>
          </cell>
          <cell r="H5">
            <v>0</v>
          </cell>
          <cell r="I5">
            <v>1</v>
          </cell>
          <cell r="J5">
            <v>4621.4200000000019</v>
          </cell>
          <cell r="K5" t="str">
            <v>--</v>
          </cell>
          <cell r="L5" t="str">
            <v>--</v>
          </cell>
        </row>
        <row r="6">
          <cell r="A6" t="str">
            <v>VOICES 2005</v>
          </cell>
          <cell r="B6">
            <v>3278</v>
          </cell>
          <cell r="C6">
            <v>74223</v>
          </cell>
          <cell r="D6">
            <v>85316</v>
          </cell>
          <cell r="E6">
            <v>-11093</v>
          </cell>
          <cell r="F6">
            <v>0.86997749542875902</v>
          </cell>
          <cell r="G6">
            <v>74223</v>
          </cell>
          <cell r="H6">
            <v>0</v>
          </cell>
          <cell r="I6">
            <v>1</v>
          </cell>
          <cell r="J6">
            <v>-11093</v>
          </cell>
          <cell r="K6" t="str">
            <v>--</v>
          </cell>
          <cell r="L6" t="str">
            <v>--</v>
          </cell>
        </row>
        <row r="7">
          <cell r="A7" t="str">
            <v>AS BEES IN HONEY DROWN</v>
          </cell>
          <cell r="B7">
            <v>880</v>
          </cell>
          <cell r="C7">
            <v>14254</v>
          </cell>
          <cell r="D7">
            <v>14078.579999999998</v>
          </cell>
          <cell r="E7">
            <v>175.42000000000189</v>
          </cell>
          <cell r="F7">
            <v>1.0124600634438985</v>
          </cell>
          <cell r="G7">
            <v>14254</v>
          </cell>
          <cell r="H7">
            <v>0</v>
          </cell>
          <cell r="I7">
            <v>1</v>
          </cell>
          <cell r="J7">
            <v>175.42000000000189</v>
          </cell>
          <cell r="K7" t="str">
            <v>--</v>
          </cell>
          <cell r="L7" t="str">
            <v>--</v>
          </cell>
        </row>
        <row r="8">
          <cell r="A8" t="str">
            <v>BEAT THE SUNSET</v>
          </cell>
          <cell r="B8">
            <v>454</v>
          </cell>
          <cell r="C8">
            <v>5319</v>
          </cell>
          <cell r="D8">
            <v>14078.579999999998</v>
          </cell>
          <cell r="E8">
            <v>-8759.5799999999981</v>
          </cell>
          <cell r="F8">
            <v>0.37780798915799751</v>
          </cell>
          <cell r="G8">
            <v>5319</v>
          </cell>
          <cell r="H8">
            <v>0</v>
          </cell>
          <cell r="I8">
            <v>1</v>
          </cell>
          <cell r="J8">
            <v>-8759.5799999999981</v>
          </cell>
          <cell r="K8" t="str">
            <v>--</v>
          </cell>
          <cell r="L8" t="str">
            <v>--</v>
          </cell>
        </row>
        <row r="9">
          <cell r="A9" t="str">
            <v>LA BÊTE</v>
          </cell>
          <cell r="B9">
            <v>634</v>
          </cell>
          <cell r="C9">
            <v>7035</v>
          </cell>
          <cell r="D9">
            <v>14078.579999999998</v>
          </cell>
          <cell r="E9">
            <v>-7043.5799999999981</v>
          </cell>
          <cell r="F9">
            <v>0.49969528176847389</v>
          </cell>
          <cell r="G9">
            <v>7035</v>
          </cell>
          <cell r="H9">
            <v>0</v>
          </cell>
          <cell r="I9">
            <v>1</v>
          </cell>
          <cell r="J9">
            <v>-7043.5799999999981</v>
          </cell>
          <cell r="K9" t="str">
            <v>--</v>
          </cell>
          <cell r="L9" t="str">
            <v>--</v>
          </cell>
        </row>
        <row r="10">
          <cell r="A10" t="str">
            <v>JUST SO</v>
          </cell>
          <cell r="B10">
            <v>911</v>
          </cell>
          <cell r="C10">
            <v>9038</v>
          </cell>
          <cell r="D10">
            <v>14078.579999999998</v>
          </cell>
          <cell r="E10">
            <v>-5040.5799999999981</v>
          </cell>
          <cell r="F10">
            <v>0.64196815303816157</v>
          </cell>
          <cell r="G10">
            <v>9038</v>
          </cell>
          <cell r="H10">
            <v>0</v>
          </cell>
          <cell r="I10">
            <v>1</v>
          </cell>
          <cell r="J10">
            <v>-5040.5799999999981</v>
          </cell>
          <cell r="K10" t="str">
            <v>--</v>
          </cell>
          <cell r="L10" t="str">
            <v>--</v>
          </cell>
        </row>
        <row r="11">
          <cell r="A11" t="str">
            <v>SINGLE TICKET TOTALS</v>
          </cell>
          <cell r="B11">
            <v>8784</v>
          </cell>
          <cell r="C11">
            <v>149901</v>
          </cell>
          <cell r="D11">
            <v>172368.89999999997</v>
          </cell>
          <cell r="E11">
            <v>-22467.899999999991</v>
          </cell>
          <cell r="F11">
            <v>0.86965224005026442</v>
          </cell>
          <cell r="G11">
            <v>149901</v>
          </cell>
          <cell r="H11">
            <v>0</v>
          </cell>
          <cell r="I11">
            <v>1</v>
          </cell>
          <cell r="J11">
            <v>-22467.899999999991</v>
          </cell>
          <cell r="K11" t="str">
            <v xml:space="preserve"> -- </v>
          </cell>
          <cell r="L11" t="str">
            <v xml:space="preserve"> -- </v>
          </cell>
        </row>
        <row r="12">
          <cell r="A12" t="str">
            <v>SUBSCRIPTION REVENUE</v>
          </cell>
          <cell r="B12">
            <v>583</v>
          </cell>
          <cell r="C12">
            <v>44117</v>
          </cell>
          <cell r="D12">
            <v>43900</v>
          </cell>
          <cell r="E12">
            <v>217</v>
          </cell>
          <cell r="F12">
            <v>1.0049430523917995</v>
          </cell>
          <cell r="G12">
            <v>44117</v>
          </cell>
          <cell r="H12">
            <v>0</v>
          </cell>
          <cell r="I12">
            <v>1</v>
          </cell>
          <cell r="J12">
            <v>217</v>
          </cell>
          <cell r="K12" t="str">
            <v>--</v>
          </cell>
          <cell r="L12" t="str">
            <v>--</v>
          </cell>
        </row>
        <row r="13">
          <cell r="A13" t="str">
            <v>TOTAL TICKET REVENUE</v>
          </cell>
          <cell r="C13">
            <v>194018</v>
          </cell>
          <cell r="D13">
            <v>216268.89999999997</v>
          </cell>
          <cell r="E13">
            <v>-22250.899999999991</v>
          </cell>
          <cell r="F13">
            <v>0.89711465679993763</v>
          </cell>
          <cell r="G13">
            <v>194018</v>
          </cell>
          <cell r="H13">
            <v>0</v>
          </cell>
          <cell r="I13">
            <v>1</v>
          </cell>
          <cell r="J13">
            <v>-22250.899999999991</v>
          </cell>
          <cell r="K13" t="str">
            <v xml:space="preserve"> -- </v>
          </cell>
          <cell r="L13" t="str">
            <v xml:space="preserve"> -- </v>
          </cell>
        </row>
        <row r="15">
          <cell r="A15" t="str">
            <v>FY2006-07</v>
          </cell>
        </row>
        <row r="16">
          <cell r="A16">
            <v>40344</v>
          </cell>
        </row>
        <row r="17">
          <cell r="A17" t="str">
            <v>CABARET (CONSERVATORY)</v>
          </cell>
          <cell r="B17">
            <v>1574</v>
          </cell>
          <cell r="C17">
            <v>18953</v>
          </cell>
          <cell r="D17">
            <v>21875</v>
          </cell>
          <cell r="E17">
            <v>-2922</v>
          </cell>
          <cell r="F17">
            <v>0.86642285714285716</v>
          </cell>
          <cell r="G17">
            <v>18953</v>
          </cell>
          <cell r="J17">
            <v>-2922</v>
          </cell>
        </row>
        <row r="18">
          <cell r="A18" t="str">
            <v>CINDERELLA (CAMP)</v>
          </cell>
          <cell r="B18">
            <v>907</v>
          </cell>
          <cell r="C18">
            <v>8575.5</v>
          </cell>
          <cell r="D18">
            <v>6580</v>
          </cell>
          <cell r="E18">
            <v>1995.5</v>
          </cell>
          <cell r="F18">
            <v>1.3032674772036474</v>
          </cell>
          <cell r="G18">
            <v>8575.5</v>
          </cell>
          <cell r="J18">
            <v>1995.5</v>
          </cell>
        </row>
        <row r="19">
          <cell r="A19" t="str">
            <v>tick, tick…BOOM!</v>
          </cell>
          <cell r="B19">
            <v>1467</v>
          </cell>
          <cell r="C19">
            <v>20403.25</v>
          </cell>
          <cell r="D19">
            <v>22900</v>
          </cell>
          <cell r="E19">
            <v>-2496.75</v>
          </cell>
          <cell r="F19">
            <v>0.89097161572052397</v>
          </cell>
          <cell r="G19">
            <v>20403.25</v>
          </cell>
          <cell r="J19">
            <v>-2496.75</v>
          </cell>
        </row>
        <row r="20">
          <cell r="A20" t="str">
            <v>VOICES OF CHRISTMAS 2006</v>
          </cell>
          <cell r="B20">
            <v>3120</v>
          </cell>
          <cell r="C20">
            <v>67040</v>
          </cell>
          <cell r="D20">
            <v>83000</v>
          </cell>
          <cell r="E20">
            <v>-15960</v>
          </cell>
          <cell r="F20">
            <v>0.80771084337349397</v>
          </cell>
          <cell r="G20">
            <v>67040</v>
          </cell>
          <cell r="J20">
            <v>-15960</v>
          </cell>
        </row>
        <row r="21">
          <cell r="A21" t="str">
            <v>HOW I GOT THAT STORY</v>
          </cell>
          <cell r="B21">
            <v>480</v>
          </cell>
          <cell r="C21">
            <v>5292.25</v>
          </cell>
          <cell r="D21">
            <v>15700</v>
          </cell>
          <cell r="E21">
            <v>-10407.75</v>
          </cell>
          <cell r="F21">
            <v>0.33708598726114647</v>
          </cell>
          <cell r="G21">
            <v>5292.25</v>
          </cell>
          <cell r="J21">
            <v>-10407.75</v>
          </cell>
        </row>
        <row r="22">
          <cell r="A22" t="str">
            <v>THRILL ME</v>
          </cell>
          <cell r="B22">
            <v>612</v>
          </cell>
          <cell r="C22">
            <v>6572.75</v>
          </cell>
          <cell r="D22">
            <v>16746.03</v>
          </cell>
          <cell r="E22">
            <v>-10173.279999999999</v>
          </cell>
          <cell r="F22">
            <v>0.39249601248773591</v>
          </cell>
          <cell r="G22">
            <v>6572.75</v>
          </cell>
          <cell r="J22">
            <v>-10173.279999999999</v>
          </cell>
        </row>
        <row r="23">
          <cell r="A23" t="str">
            <v>ON THE VERGE</v>
          </cell>
          <cell r="B23">
            <v>765</v>
          </cell>
          <cell r="C23">
            <v>10908</v>
          </cell>
          <cell r="D23">
            <v>18400</v>
          </cell>
          <cell r="E23">
            <v>-7492</v>
          </cell>
          <cell r="F23">
            <v>0.59282608695652173</v>
          </cell>
          <cell r="G23">
            <v>10908</v>
          </cell>
          <cell r="J23">
            <v>-7492</v>
          </cell>
        </row>
        <row r="24">
          <cell r="A24" t="str">
            <v>PINOCCHIO</v>
          </cell>
          <cell r="B24">
            <v>1247</v>
          </cell>
          <cell r="C24">
            <v>9973.5</v>
          </cell>
          <cell r="D24">
            <v>23155</v>
          </cell>
          <cell r="E24">
            <v>-13181.5</v>
          </cell>
          <cell r="F24">
            <v>0.43072770459943854</v>
          </cell>
          <cell r="G24">
            <v>9973.5</v>
          </cell>
          <cell r="J24">
            <v>-13181.5</v>
          </cell>
        </row>
        <row r="25">
          <cell r="A25" t="str">
            <v>SINGLE TICKET TOTALS</v>
          </cell>
          <cell r="B25">
            <v>10172</v>
          </cell>
          <cell r="C25">
            <v>147718.25</v>
          </cell>
          <cell r="D25">
            <v>208356.03</v>
          </cell>
          <cell r="E25">
            <v>-60637.78</v>
          </cell>
          <cell r="F25">
            <v>0.70897036193288954</v>
          </cell>
          <cell r="G25">
            <v>147718.25</v>
          </cell>
          <cell r="J25">
            <v>-60637.78</v>
          </cell>
        </row>
        <row r="26">
          <cell r="A26" t="str">
            <v>SUBSCRIPTION REVENUE</v>
          </cell>
          <cell r="B26">
            <v>612</v>
          </cell>
          <cell r="C26">
            <v>50838</v>
          </cell>
          <cell r="D26">
            <v>60920</v>
          </cell>
          <cell r="E26">
            <v>-10082</v>
          </cell>
          <cell r="F26">
            <v>0.8345042678923178</v>
          </cell>
          <cell r="G26">
            <v>50838</v>
          </cell>
          <cell r="J26">
            <v>-10082</v>
          </cell>
        </row>
        <row r="27">
          <cell r="A27" t="str">
            <v>TOTAL TICKET REVENUE</v>
          </cell>
          <cell r="B27">
            <v>12313</v>
          </cell>
          <cell r="C27">
            <v>198556.25</v>
          </cell>
          <cell r="D27">
            <v>269276.03000000003</v>
          </cell>
          <cell r="E27">
            <v>-70719.78</v>
          </cell>
          <cell r="F27">
            <v>0.7373706824183347</v>
          </cell>
          <cell r="G27">
            <v>198556.25</v>
          </cell>
          <cell r="J27">
            <v>-70719.78</v>
          </cell>
        </row>
      </sheetData>
      <sheetData sheetId="7"/>
      <sheetData sheetId="8">
        <row r="17">
          <cell r="B17">
            <v>1213</v>
          </cell>
        </row>
      </sheetData>
      <sheetData sheetId="9"/>
      <sheetData sheetId="10"/>
      <sheetData sheetId="11">
        <row r="613">
          <cell r="BX613">
            <v>1984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YOY"/>
      <sheetName val="Balance YOY"/>
      <sheetName val="P&amp;L - Budg to Actual"/>
      <sheetName val="Temp Restricted "/>
      <sheetName val="Contributed Revenue"/>
      <sheetName val="Ticket S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86"/>
  <sheetViews>
    <sheetView tabSelected="1" workbookViewId="0">
      <pane xSplit="6" ySplit="2" topLeftCell="G56" activePane="bottomRight" state="frozenSplit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4.4"/>
  <cols>
    <col min="1" max="5" width="3" style="16" customWidth="1"/>
    <col min="6" max="6" width="32" style="16" customWidth="1"/>
    <col min="7" max="7" width="10" style="17" bestFit="1" customWidth="1"/>
    <col min="8" max="8" width="2.33203125" style="17" customWidth="1"/>
    <col min="9" max="9" width="9.5546875" style="17" bestFit="1" customWidth="1"/>
    <col min="10" max="10" width="2.33203125" style="17" customWidth="1"/>
    <col min="11" max="11" width="10" style="17" bestFit="1" customWidth="1"/>
  </cols>
  <sheetData>
    <row r="1" spans="1:11" ht="15" thickBot="1">
      <c r="A1" s="1"/>
      <c r="B1" s="1"/>
      <c r="C1" s="1"/>
      <c r="D1" s="1"/>
      <c r="E1" s="1"/>
      <c r="F1" s="1"/>
      <c r="G1" s="2"/>
      <c r="H1" s="3"/>
      <c r="I1" s="2"/>
      <c r="J1" s="3"/>
      <c r="K1" s="2"/>
    </row>
    <row r="2" spans="1:11" s="7" customFormat="1" ht="15.6" thickTop="1" thickBot="1">
      <c r="A2" s="4"/>
      <c r="B2" s="4"/>
      <c r="C2" s="4"/>
      <c r="D2" s="4"/>
      <c r="E2" s="4"/>
      <c r="F2" s="4"/>
      <c r="G2" s="5" t="s">
        <v>0</v>
      </c>
      <c r="H2" s="6"/>
      <c r="I2" s="5" t="s">
        <v>1</v>
      </c>
      <c r="J2" s="6"/>
      <c r="K2" s="5" t="s">
        <v>2</v>
      </c>
    </row>
    <row r="3" spans="1:11" ht="15" thickTop="1">
      <c r="A3" s="1" t="s">
        <v>3</v>
      </c>
      <c r="B3" s="1"/>
      <c r="C3" s="1"/>
      <c r="D3" s="1"/>
      <c r="E3" s="1"/>
      <c r="F3" s="1"/>
      <c r="G3" s="8"/>
      <c r="H3" s="9"/>
      <c r="I3" s="8"/>
      <c r="J3" s="9"/>
      <c r="K3" s="8"/>
    </row>
    <row r="4" spans="1:11">
      <c r="A4" s="1"/>
      <c r="B4" s="1" t="s">
        <v>4</v>
      </c>
      <c r="C4" s="1"/>
      <c r="D4" s="1"/>
      <c r="E4" s="1"/>
      <c r="F4" s="1"/>
      <c r="G4" s="8"/>
      <c r="H4" s="9"/>
      <c r="I4" s="8"/>
      <c r="J4" s="9"/>
      <c r="K4" s="8"/>
    </row>
    <row r="5" spans="1:11">
      <c r="A5" s="1"/>
      <c r="B5" s="1"/>
      <c r="C5" s="1" t="s">
        <v>5</v>
      </c>
      <c r="D5" s="1"/>
      <c r="E5" s="1"/>
      <c r="F5" s="1"/>
      <c r="G5" s="8"/>
      <c r="H5" s="9"/>
      <c r="I5" s="8"/>
      <c r="J5" s="9"/>
      <c r="K5" s="8"/>
    </row>
    <row r="6" spans="1:11">
      <c r="A6" s="1"/>
      <c r="B6" s="1"/>
      <c r="C6" s="1"/>
      <c r="D6" s="1" t="s">
        <v>6</v>
      </c>
      <c r="E6" s="1"/>
      <c r="F6" s="1"/>
      <c r="G6" s="8">
        <v>98700.7</v>
      </c>
      <c r="H6" s="9"/>
      <c r="I6" s="8">
        <v>90750.22</v>
      </c>
      <c r="J6" s="9"/>
      <c r="K6" s="8">
        <f>ROUND((G6-I6),5)</f>
        <v>7950.48</v>
      </c>
    </row>
    <row r="7" spans="1:11">
      <c r="A7" s="1"/>
      <c r="B7" s="1"/>
      <c r="C7" s="1"/>
      <c r="D7" s="1" t="s">
        <v>7</v>
      </c>
      <c r="E7" s="1"/>
      <c r="F7" s="1"/>
      <c r="G7" s="8">
        <v>7178.16</v>
      </c>
      <c r="H7" s="9"/>
      <c r="I7" s="8">
        <v>22495.49</v>
      </c>
      <c r="J7" s="9"/>
      <c r="K7" s="8">
        <f>ROUND((G7-I7),5)</f>
        <v>-15317.33</v>
      </c>
    </row>
    <row r="8" spans="1:11">
      <c r="A8" s="1"/>
      <c r="B8" s="1"/>
      <c r="C8" s="1"/>
      <c r="D8" s="1" t="s">
        <v>8</v>
      </c>
      <c r="E8" s="1"/>
      <c r="F8" s="1"/>
      <c r="G8" s="8">
        <v>860</v>
      </c>
      <c r="H8" s="9"/>
      <c r="I8" s="8">
        <v>560</v>
      </c>
      <c r="J8" s="9"/>
      <c r="K8" s="8">
        <f>ROUND((G8-I8),5)</f>
        <v>300</v>
      </c>
    </row>
    <row r="9" spans="1:11" ht="15" thickBot="1">
      <c r="A9" s="1"/>
      <c r="B9" s="1"/>
      <c r="C9" s="1"/>
      <c r="D9" s="1" t="s">
        <v>9</v>
      </c>
      <c r="E9" s="1"/>
      <c r="F9" s="1"/>
      <c r="G9" s="10">
        <v>3.93</v>
      </c>
      <c r="H9" s="9"/>
      <c r="I9" s="10">
        <v>3.93</v>
      </c>
      <c r="J9" s="9"/>
      <c r="K9" s="10">
        <f>ROUND((G9-I9),5)</f>
        <v>0</v>
      </c>
    </row>
    <row r="10" spans="1:11">
      <c r="A10" s="1"/>
      <c r="B10" s="1"/>
      <c r="C10" s="1" t="s">
        <v>10</v>
      </c>
      <c r="D10" s="1"/>
      <c r="E10" s="1"/>
      <c r="F10" s="1"/>
      <c r="G10" s="8">
        <f>ROUND(SUM(G5:G9),5)</f>
        <v>106742.79</v>
      </c>
      <c r="H10" s="9"/>
      <c r="I10" s="8">
        <f>ROUND(SUM(I5:I9),5)</f>
        <v>113809.64</v>
      </c>
      <c r="J10" s="9"/>
      <c r="K10" s="8">
        <f>ROUND((G10-I10),5)</f>
        <v>-7066.85</v>
      </c>
    </row>
    <row r="11" spans="1:11">
      <c r="A11" s="1"/>
      <c r="B11" s="1"/>
      <c r="C11" s="1" t="s">
        <v>11</v>
      </c>
      <c r="D11" s="1"/>
      <c r="E11" s="1"/>
      <c r="F11" s="1"/>
      <c r="G11" s="8"/>
      <c r="H11" s="9"/>
      <c r="I11" s="8"/>
      <c r="J11" s="9"/>
      <c r="K11" s="8"/>
    </row>
    <row r="12" spans="1:11">
      <c r="A12" s="1"/>
      <c r="B12" s="1"/>
      <c r="C12" s="1"/>
      <c r="D12" s="1" t="s">
        <v>12</v>
      </c>
      <c r="E12" s="1"/>
      <c r="F12" s="1"/>
      <c r="G12" s="8">
        <v>16409.66</v>
      </c>
      <c r="H12" s="9"/>
      <c r="I12" s="8">
        <v>41913.51</v>
      </c>
      <c r="J12" s="9"/>
      <c r="K12" s="8">
        <f>ROUND((G12-I12),5)</f>
        <v>-25503.85</v>
      </c>
    </row>
    <row r="13" spans="1:11">
      <c r="A13" s="1"/>
      <c r="B13" s="1"/>
      <c r="C13" s="1"/>
      <c r="D13" s="1" t="s">
        <v>13</v>
      </c>
      <c r="E13" s="1"/>
      <c r="F13" s="1"/>
      <c r="G13" s="8">
        <v>4850.34</v>
      </c>
      <c r="H13" s="9"/>
      <c r="I13" s="8">
        <v>59300.34</v>
      </c>
      <c r="J13" s="9"/>
      <c r="K13" s="8">
        <f>ROUND((G13-I13),5)</f>
        <v>-54450</v>
      </c>
    </row>
    <row r="14" spans="1:11">
      <c r="A14" s="1"/>
      <c r="B14" s="1"/>
      <c r="C14" s="1"/>
      <c r="D14" s="1" t="s">
        <v>14</v>
      </c>
      <c r="E14" s="1"/>
      <c r="F14" s="1"/>
      <c r="G14" s="8">
        <v>47912.5</v>
      </c>
      <c r="H14" s="9"/>
      <c r="I14" s="8">
        <v>53310</v>
      </c>
      <c r="J14" s="9"/>
      <c r="K14" s="8">
        <f>ROUND((G14-I14),5)</f>
        <v>-5397.5</v>
      </c>
    </row>
    <row r="15" spans="1:11" ht="15" thickBot="1">
      <c r="A15" s="1"/>
      <c r="B15" s="1"/>
      <c r="C15" s="1"/>
      <c r="D15" s="1" t="s">
        <v>15</v>
      </c>
      <c r="E15" s="1"/>
      <c r="F15" s="1"/>
      <c r="G15" s="10">
        <v>-2250</v>
      </c>
      <c r="H15" s="9"/>
      <c r="I15" s="10">
        <v>-2250</v>
      </c>
      <c r="J15" s="9"/>
      <c r="K15" s="10">
        <f>ROUND((G15-I15),5)</f>
        <v>0</v>
      </c>
    </row>
    <row r="16" spans="1:11">
      <c r="A16" s="1"/>
      <c r="B16" s="1"/>
      <c r="C16" s="1" t="s">
        <v>16</v>
      </c>
      <c r="D16" s="1"/>
      <c r="E16" s="1"/>
      <c r="F16" s="1"/>
      <c r="G16" s="8">
        <f>ROUND(SUM(G11:G15),5)</f>
        <v>66922.5</v>
      </c>
      <c r="H16" s="9"/>
      <c r="I16" s="8">
        <f>ROUND(SUM(I11:I15),5)</f>
        <v>152273.85</v>
      </c>
      <c r="J16" s="9"/>
      <c r="K16" s="8">
        <f>ROUND((G16-I16),5)</f>
        <v>-85351.35</v>
      </c>
    </row>
    <row r="17" spans="1:11">
      <c r="A17" s="1"/>
      <c r="B17" s="1"/>
      <c r="C17" s="1" t="s">
        <v>17</v>
      </c>
      <c r="D17" s="1"/>
      <c r="E17" s="1"/>
      <c r="F17" s="1"/>
      <c r="G17" s="8"/>
      <c r="H17" s="9"/>
      <c r="I17" s="8"/>
      <c r="J17" s="9"/>
      <c r="K17" s="8"/>
    </row>
    <row r="18" spans="1:11">
      <c r="A18" s="1"/>
      <c r="B18" s="1"/>
      <c r="C18" s="1"/>
      <c r="D18" s="1" t="s">
        <v>18</v>
      </c>
      <c r="E18" s="1"/>
      <c r="F18" s="1"/>
      <c r="G18" s="8">
        <v>13653.94</v>
      </c>
      <c r="H18" s="9"/>
      <c r="I18" s="8">
        <v>0</v>
      </c>
      <c r="J18" s="9"/>
      <c r="K18" s="8">
        <f t="shared" ref="K18:K23" si="0">ROUND((G18-I18),5)</f>
        <v>13653.94</v>
      </c>
    </row>
    <row r="19" spans="1:11">
      <c r="A19" s="1"/>
      <c r="B19" s="1"/>
      <c r="C19" s="1"/>
      <c r="D19" s="1" t="s">
        <v>19</v>
      </c>
      <c r="E19" s="1"/>
      <c r="F19" s="1"/>
      <c r="G19" s="8">
        <v>3000</v>
      </c>
      <c r="H19" s="9"/>
      <c r="I19" s="8">
        <v>0</v>
      </c>
      <c r="J19" s="9"/>
      <c r="K19" s="8">
        <f t="shared" si="0"/>
        <v>3000</v>
      </c>
    </row>
    <row r="20" spans="1:11">
      <c r="A20" s="1"/>
      <c r="B20" s="1"/>
      <c r="C20" s="1"/>
      <c r="D20" s="1" t="s">
        <v>20</v>
      </c>
      <c r="E20" s="1"/>
      <c r="F20" s="1"/>
      <c r="G20" s="8">
        <v>0</v>
      </c>
      <c r="H20" s="9"/>
      <c r="I20" s="8">
        <v>10000</v>
      </c>
      <c r="J20" s="9"/>
      <c r="K20" s="8">
        <f t="shared" si="0"/>
        <v>-10000</v>
      </c>
    </row>
    <row r="21" spans="1:11" ht="15" thickBot="1">
      <c r="A21" s="1"/>
      <c r="B21" s="1"/>
      <c r="C21" s="1"/>
      <c r="D21" s="1" t="s">
        <v>21</v>
      </c>
      <c r="E21" s="1"/>
      <c r="F21" s="1"/>
      <c r="G21" s="11">
        <v>2328.5300000000002</v>
      </c>
      <c r="H21" s="9"/>
      <c r="I21" s="11">
        <v>241.92</v>
      </c>
      <c r="J21" s="9"/>
      <c r="K21" s="11">
        <f t="shared" si="0"/>
        <v>2086.61</v>
      </c>
    </row>
    <row r="22" spans="1:11" ht="15" thickBot="1">
      <c r="A22" s="1"/>
      <c r="B22" s="1"/>
      <c r="C22" s="1" t="s">
        <v>22</v>
      </c>
      <c r="D22" s="1"/>
      <c r="E22" s="1"/>
      <c r="F22" s="1"/>
      <c r="G22" s="12">
        <f>ROUND(SUM(G17:G21),5)</f>
        <v>18982.47</v>
      </c>
      <c r="H22" s="9"/>
      <c r="I22" s="12">
        <f>ROUND(SUM(I17:I21),5)</f>
        <v>10241.92</v>
      </c>
      <c r="J22" s="9"/>
      <c r="K22" s="12">
        <f t="shared" si="0"/>
        <v>8740.5499999999993</v>
      </c>
    </row>
    <row r="23" spans="1:11">
      <c r="A23" s="1"/>
      <c r="B23" s="1" t="s">
        <v>23</v>
      </c>
      <c r="C23" s="1"/>
      <c r="D23" s="1"/>
      <c r="E23" s="1"/>
      <c r="F23" s="1"/>
      <c r="G23" s="8">
        <f>ROUND(G4+G10+G16+G22,5)</f>
        <v>192647.76</v>
      </c>
      <c r="H23" s="9"/>
      <c r="I23" s="8">
        <f>ROUND(I4+I10+I16+I22,5)</f>
        <v>276325.40999999997</v>
      </c>
      <c r="J23" s="9"/>
      <c r="K23" s="8">
        <f t="shared" si="0"/>
        <v>-83677.649999999994</v>
      </c>
    </row>
    <row r="24" spans="1:11">
      <c r="A24" s="1"/>
      <c r="B24" s="1" t="s">
        <v>24</v>
      </c>
      <c r="C24" s="1"/>
      <c r="D24" s="1"/>
      <c r="E24" s="1"/>
      <c r="F24" s="1"/>
      <c r="G24" s="8"/>
      <c r="H24" s="9"/>
      <c r="I24" s="8"/>
      <c r="J24" s="9"/>
      <c r="K24" s="8"/>
    </row>
    <row r="25" spans="1:11">
      <c r="A25" s="1"/>
      <c r="B25" s="1"/>
      <c r="C25" s="1" t="s">
        <v>25</v>
      </c>
      <c r="D25" s="1"/>
      <c r="E25" s="1"/>
      <c r="F25" s="1"/>
      <c r="G25" s="8"/>
      <c r="H25" s="9"/>
      <c r="I25" s="8"/>
      <c r="J25" s="9"/>
      <c r="K25" s="8"/>
    </row>
    <row r="26" spans="1:11">
      <c r="A26" s="1"/>
      <c r="B26" s="1"/>
      <c r="C26" s="1"/>
      <c r="D26" s="1" t="s">
        <v>26</v>
      </c>
      <c r="E26" s="1"/>
      <c r="F26" s="1"/>
      <c r="G26" s="8"/>
      <c r="H26" s="9"/>
      <c r="I26" s="8"/>
      <c r="J26" s="9"/>
      <c r="K26" s="8"/>
    </row>
    <row r="27" spans="1:11">
      <c r="A27" s="1"/>
      <c r="B27" s="1"/>
      <c r="C27" s="1"/>
      <c r="D27" s="1"/>
      <c r="E27" s="1" t="s">
        <v>27</v>
      </c>
      <c r="F27" s="1"/>
      <c r="G27" s="8">
        <v>-1168767.99</v>
      </c>
      <c r="H27" s="9"/>
      <c r="I27" s="8">
        <v>-162434.31</v>
      </c>
      <c r="J27" s="9"/>
      <c r="K27" s="8">
        <f>ROUND((G27-I27),5)</f>
        <v>-1006333.68</v>
      </c>
    </row>
    <row r="28" spans="1:11" ht="15" thickBot="1">
      <c r="A28" s="1"/>
      <c r="B28" s="1"/>
      <c r="C28" s="1"/>
      <c r="D28" s="1"/>
      <c r="E28" s="1" t="s">
        <v>28</v>
      </c>
      <c r="F28" s="1"/>
      <c r="G28" s="10">
        <v>2238062.39</v>
      </c>
      <c r="H28" s="9"/>
      <c r="I28" s="10">
        <v>1306330.71</v>
      </c>
      <c r="J28" s="9"/>
      <c r="K28" s="10">
        <f>ROUND((G28-I28),5)</f>
        <v>931731.68</v>
      </c>
    </row>
    <row r="29" spans="1:11">
      <c r="A29" s="1"/>
      <c r="B29" s="1"/>
      <c r="C29" s="1"/>
      <c r="D29" s="1" t="s">
        <v>29</v>
      </c>
      <c r="E29" s="1"/>
      <c r="F29" s="1"/>
      <c r="G29" s="8">
        <f>ROUND(SUM(G26:G28),5)</f>
        <v>1069294.3999999999</v>
      </c>
      <c r="H29" s="9"/>
      <c r="I29" s="8">
        <f>ROUND(SUM(I26:I28),5)</f>
        <v>1143896.3999999999</v>
      </c>
      <c r="J29" s="9"/>
      <c r="K29" s="8">
        <f>ROUND((G29-I29),5)</f>
        <v>-74602</v>
      </c>
    </row>
    <row r="30" spans="1:11">
      <c r="A30" s="1"/>
      <c r="B30" s="1"/>
      <c r="C30" s="1"/>
      <c r="D30" s="1" t="s">
        <v>30</v>
      </c>
      <c r="E30" s="1"/>
      <c r="F30" s="1"/>
      <c r="G30" s="8"/>
      <c r="H30" s="9"/>
      <c r="I30" s="8"/>
      <c r="J30" s="9"/>
      <c r="K30" s="8"/>
    </row>
    <row r="31" spans="1:11">
      <c r="A31" s="1"/>
      <c r="B31" s="1"/>
      <c r="C31" s="1"/>
      <c r="D31" s="1"/>
      <c r="E31" s="1" t="s">
        <v>31</v>
      </c>
      <c r="F31" s="1"/>
      <c r="G31" s="8">
        <v>-233979.65</v>
      </c>
      <c r="H31" s="9"/>
      <c r="I31" s="8">
        <v>-13356.97</v>
      </c>
      <c r="J31" s="9"/>
      <c r="K31" s="8">
        <f>ROUND((G31-I31),5)</f>
        <v>-220622.68</v>
      </c>
    </row>
    <row r="32" spans="1:11" ht="15" thickBot="1">
      <c r="A32" s="1"/>
      <c r="B32" s="1"/>
      <c r="C32" s="1"/>
      <c r="D32" s="1"/>
      <c r="E32" s="1" t="s">
        <v>32</v>
      </c>
      <c r="F32" s="1"/>
      <c r="G32" s="10">
        <v>282228.2</v>
      </c>
      <c r="H32" s="9"/>
      <c r="I32" s="10">
        <v>38422.519999999997</v>
      </c>
      <c r="J32" s="9"/>
      <c r="K32" s="10">
        <f>ROUND((G32-I32),5)</f>
        <v>243805.68</v>
      </c>
    </row>
    <row r="33" spans="1:11">
      <c r="A33" s="1"/>
      <c r="B33" s="1"/>
      <c r="C33" s="1"/>
      <c r="D33" s="1" t="s">
        <v>33</v>
      </c>
      <c r="E33" s="1"/>
      <c r="F33" s="1"/>
      <c r="G33" s="8">
        <f>ROUND(SUM(G30:G32),5)</f>
        <v>48248.55</v>
      </c>
      <c r="H33" s="9"/>
      <c r="I33" s="8">
        <f>ROUND(SUM(I30:I32),5)</f>
        <v>25065.55</v>
      </c>
      <c r="J33" s="9"/>
      <c r="K33" s="8">
        <f>ROUND((G33-I33),5)</f>
        <v>23183</v>
      </c>
    </row>
    <row r="34" spans="1:11">
      <c r="A34" s="1"/>
      <c r="B34" s="1"/>
      <c r="C34" s="1"/>
      <c r="D34" s="1" t="s">
        <v>34</v>
      </c>
      <c r="E34" s="1"/>
      <c r="F34" s="1"/>
      <c r="G34" s="8"/>
      <c r="H34" s="9"/>
      <c r="I34" s="8"/>
      <c r="J34" s="9"/>
      <c r="K34" s="8"/>
    </row>
    <row r="35" spans="1:11">
      <c r="A35" s="1"/>
      <c r="B35" s="1"/>
      <c r="C35" s="1"/>
      <c r="D35" s="1"/>
      <c r="E35" s="1" t="s">
        <v>35</v>
      </c>
      <c r="F35" s="1"/>
      <c r="G35" s="8">
        <v>-34675</v>
      </c>
      <c r="H35" s="9"/>
      <c r="I35" s="8">
        <v>0</v>
      </c>
      <c r="J35" s="9"/>
      <c r="K35" s="8">
        <f>ROUND((G35-I35),5)</f>
        <v>-34675</v>
      </c>
    </row>
    <row r="36" spans="1:11" ht="15" thickBot="1">
      <c r="A36" s="1"/>
      <c r="B36" s="1"/>
      <c r="C36" s="1"/>
      <c r="D36" s="1"/>
      <c r="E36" s="1" t="s">
        <v>36</v>
      </c>
      <c r="F36" s="1"/>
      <c r="G36" s="10">
        <v>34675</v>
      </c>
      <c r="H36" s="9"/>
      <c r="I36" s="10">
        <v>0</v>
      </c>
      <c r="J36" s="9"/>
      <c r="K36" s="10">
        <f>ROUND((G36-I36),5)</f>
        <v>34675</v>
      </c>
    </row>
    <row r="37" spans="1:11">
      <c r="A37" s="1"/>
      <c r="B37" s="1"/>
      <c r="C37" s="1"/>
      <c r="D37" s="1" t="s">
        <v>37</v>
      </c>
      <c r="E37" s="1"/>
      <c r="F37" s="1"/>
      <c r="G37" s="8">
        <f>ROUND(SUM(G34:G36),5)</f>
        <v>0</v>
      </c>
      <c r="H37" s="9"/>
      <c r="I37" s="8">
        <f>ROUND(SUM(I34:I36),5)</f>
        <v>0</v>
      </c>
      <c r="J37" s="9"/>
      <c r="K37" s="8">
        <f>ROUND((G37-I37),5)</f>
        <v>0</v>
      </c>
    </row>
    <row r="38" spans="1:11">
      <c r="A38" s="1"/>
      <c r="B38" s="1"/>
      <c r="C38" s="1"/>
      <c r="D38" s="1" t="s">
        <v>38</v>
      </c>
      <c r="E38" s="1"/>
      <c r="F38" s="1"/>
      <c r="G38" s="8"/>
      <c r="H38" s="9"/>
      <c r="I38" s="8"/>
      <c r="J38" s="9"/>
      <c r="K38" s="8"/>
    </row>
    <row r="39" spans="1:11">
      <c r="A39" s="1"/>
      <c r="B39" s="1"/>
      <c r="C39" s="1"/>
      <c r="D39" s="1"/>
      <c r="E39" s="1" t="s">
        <v>39</v>
      </c>
      <c r="F39" s="1"/>
      <c r="G39" s="8">
        <v>-16562.5</v>
      </c>
      <c r="H39" s="9"/>
      <c r="I39" s="8">
        <v>-5132.7299999999996</v>
      </c>
      <c r="J39" s="9"/>
      <c r="K39" s="8">
        <f t="shared" ref="K39:K44" si="1">ROUND((G39-I39),5)</f>
        <v>-11429.77</v>
      </c>
    </row>
    <row r="40" spans="1:11" ht="15" thickBot="1">
      <c r="A40" s="1"/>
      <c r="B40" s="1"/>
      <c r="C40" s="1"/>
      <c r="D40" s="1"/>
      <c r="E40" s="1" t="s">
        <v>40</v>
      </c>
      <c r="F40" s="1"/>
      <c r="G40" s="10">
        <v>49105.16</v>
      </c>
      <c r="H40" s="9"/>
      <c r="I40" s="10">
        <v>40949.39</v>
      </c>
      <c r="J40" s="9"/>
      <c r="K40" s="10">
        <f t="shared" si="1"/>
        <v>8155.77</v>
      </c>
    </row>
    <row r="41" spans="1:11">
      <c r="A41" s="1"/>
      <c r="B41" s="1"/>
      <c r="C41" s="1"/>
      <c r="D41" s="1" t="s">
        <v>41</v>
      </c>
      <c r="E41" s="1"/>
      <c r="F41" s="1"/>
      <c r="G41" s="8">
        <f>ROUND(SUM(G38:G40),5)</f>
        <v>32542.66</v>
      </c>
      <c r="H41" s="9"/>
      <c r="I41" s="8">
        <f>ROUND(SUM(I38:I40),5)</f>
        <v>35816.660000000003</v>
      </c>
      <c r="J41" s="9"/>
      <c r="K41" s="8">
        <f t="shared" si="1"/>
        <v>-3274</v>
      </c>
    </row>
    <row r="42" spans="1:11" ht="15" thickBot="1">
      <c r="A42" s="1"/>
      <c r="B42" s="1"/>
      <c r="C42" s="1"/>
      <c r="D42" s="1" t="s">
        <v>42</v>
      </c>
      <c r="E42" s="1"/>
      <c r="F42" s="1"/>
      <c r="G42" s="11">
        <v>94080</v>
      </c>
      <c r="H42" s="9"/>
      <c r="I42" s="11">
        <v>94080</v>
      </c>
      <c r="J42" s="9"/>
      <c r="K42" s="11">
        <f t="shared" si="1"/>
        <v>0</v>
      </c>
    </row>
    <row r="43" spans="1:11" ht="15" thickBot="1">
      <c r="A43" s="1"/>
      <c r="B43" s="1"/>
      <c r="C43" s="1" t="s">
        <v>43</v>
      </c>
      <c r="D43" s="1"/>
      <c r="E43" s="1"/>
      <c r="F43" s="1"/>
      <c r="G43" s="12">
        <f>ROUND(G25+G29+G33+G37+SUM(G41:G42),5)</f>
        <v>1244165.6100000001</v>
      </c>
      <c r="H43" s="9"/>
      <c r="I43" s="12">
        <f>ROUND(I25+I29+I33+I37+SUM(I41:I42),5)</f>
        <v>1298858.6100000001</v>
      </c>
      <c r="J43" s="9"/>
      <c r="K43" s="12">
        <f t="shared" si="1"/>
        <v>-54693</v>
      </c>
    </row>
    <row r="44" spans="1:11">
      <c r="A44" s="1"/>
      <c r="B44" s="1" t="s">
        <v>44</v>
      </c>
      <c r="C44" s="1"/>
      <c r="D44" s="1"/>
      <c r="E44" s="1"/>
      <c r="F44" s="1"/>
      <c r="G44" s="8">
        <f>ROUND(G24+G43,5)</f>
        <v>1244165.6100000001</v>
      </c>
      <c r="H44" s="9"/>
      <c r="I44" s="8">
        <f>ROUND(I24+I43,5)</f>
        <v>1298858.6100000001</v>
      </c>
      <c r="J44" s="9"/>
      <c r="K44" s="8">
        <f t="shared" si="1"/>
        <v>-54693</v>
      </c>
    </row>
    <row r="45" spans="1:11">
      <c r="A45" s="1"/>
      <c r="B45" s="1" t="s">
        <v>45</v>
      </c>
      <c r="C45" s="1"/>
      <c r="D45" s="1"/>
      <c r="E45" s="1"/>
      <c r="F45" s="1"/>
      <c r="G45" s="8"/>
      <c r="H45" s="9"/>
      <c r="I45" s="8"/>
      <c r="J45" s="9"/>
      <c r="K45" s="8"/>
    </row>
    <row r="46" spans="1:11">
      <c r="A46" s="1"/>
      <c r="B46" s="1"/>
      <c r="C46" s="1" t="s">
        <v>46</v>
      </c>
      <c r="D46" s="1"/>
      <c r="E46" s="1"/>
      <c r="F46" s="1"/>
      <c r="G46" s="8">
        <v>8750</v>
      </c>
      <c r="H46" s="9"/>
      <c r="I46" s="8">
        <v>19400</v>
      </c>
      <c r="J46" s="9"/>
      <c r="K46" s="8">
        <f>ROUND((G46-I46),5)</f>
        <v>-10650</v>
      </c>
    </row>
    <row r="47" spans="1:11" ht="15" thickBot="1">
      <c r="A47" s="1"/>
      <c r="B47" s="1"/>
      <c r="C47" s="1" t="s">
        <v>47</v>
      </c>
      <c r="D47" s="1"/>
      <c r="E47" s="1"/>
      <c r="F47" s="1"/>
      <c r="G47" s="11">
        <v>750</v>
      </c>
      <c r="H47" s="9"/>
      <c r="I47" s="11">
        <v>750</v>
      </c>
      <c r="J47" s="9"/>
      <c r="K47" s="11">
        <f>ROUND((G47-I47),5)</f>
        <v>0</v>
      </c>
    </row>
    <row r="48" spans="1:11" ht="15" thickBot="1">
      <c r="A48" s="1"/>
      <c r="B48" s="1" t="s">
        <v>48</v>
      </c>
      <c r="C48" s="1"/>
      <c r="D48" s="1"/>
      <c r="E48" s="1"/>
      <c r="F48" s="1"/>
      <c r="G48" s="13">
        <f>ROUND(SUM(G45:G47),5)</f>
        <v>9500</v>
      </c>
      <c r="H48" s="9"/>
      <c r="I48" s="13">
        <f>ROUND(SUM(I45:I47),5)</f>
        <v>20150</v>
      </c>
      <c r="J48" s="9"/>
      <c r="K48" s="13">
        <f>ROUND((G48-I48),5)</f>
        <v>-10650</v>
      </c>
    </row>
    <row r="49" spans="1:11" s="15" customFormat="1" ht="10.8" thickBot="1">
      <c r="A49" s="1" t="s">
        <v>49</v>
      </c>
      <c r="B49" s="1"/>
      <c r="C49" s="1"/>
      <c r="D49" s="1"/>
      <c r="E49" s="1"/>
      <c r="F49" s="1"/>
      <c r="G49" s="14">
        <f>ROUND(G3+G23+G44+G48,5)</f>
        <v>1446313.37</v>
      </c>
      <c r="H49" s="1"/>
      <c r="I49" s="14">
        <f>ROUND(I3+I23+I44+I48,5)</f>
        <v>1595334.02</v>
      </c>
      <c r="J49" s="1"/>
      <c r="K49" s="14">
        <f>ROUND((G49-I49),5)</f>
        <v>-149020.65</v>
      </c>
    </row>
    <row r="50" spans="1:11" ht="15" thickTop="1">
      <c r="A50" s="1" t="s">
        <v>50</v>
      </c>
      <c r="B50" s="1"/>
      <c r="C50" s="1"/>
      <c r="D50" s="1"/>
      <c r="E50" s="1"/>
      <c r="F50" s="1"/>
      <c r="G50" s="8"/>
      <c r="H50" s="9"/>
      <c r="I50" s="8"/>
      <c r="J50" s="9"/>
      <c r="K50" s="8"/>
    </row>
    <row r="51" spans="1:11">
      <c r="A51" s="1"/>
      <c r="B51" s="1" t="s">
        <v>51</v>
      </c>
      <c r="C51" s="1"/>
      <c r="D51" s="1"/>
      <c r="E51" s="1"/>
      <c r="F51" s="1"/>
      <c r="G51" s="8"/>
      <c r="H51" s="9"/>
      <c r="I51" s="8"/>
      <c r="J51" s="9"/>
      <c r="K51" s="8"/>
    </row>
    <row r="52" spans="1:11">
      <c r="A52" s="1"/>
      <c r="B52" s="1"/>
      <c r="C52" s="1" t="s">
        <v>52</v>
      </c>
      <c r="D52" s="1"/>
      <c r="E52" s="1"/>
      <c r="F52" s="1"/>
      <c r="G52" s="8"/>
      <c r="H52" s="9"/>
      <c r="I52" s="8"/>
      <c r="J52" s="9"/>
      <c r="K52" s="8"/>
    </row>
    <row r="53" spans="1:11">
      <c r="A53" s="1"/>
      <c r="B53" s="1"/>
      <c r="C53" s="1"/>
      <c r="D53" s="1" t="s">
        <v>53</v>
      </c>
      <c r="E53" s="1"/>
      <c r="F53" s="1"/>
      <c r="G53" s="8"/>
      <c r="H53" s="9"/>
      <c r="I53" s="8"/>
      <c r="J53" s="9"/>
      <c r="K53" s="8"/>
    </row>
    <row r="54" spans="1:11" ht="15" thickBot="1">
      <c r="A54" s="1"/>
      <c r="B54" s="1"/>
      <c r="C54" s="1"/>
      <c r="D54" s="1"/>
      <c r="E54" s="1" t="s">
        <v>54</v>
      </c>
      <c r="F54" s="1"/>
      <c r="G54" s="10">
        <v>-101.57</v>
      </c>
      <c r="H54" s="9"/>
      <c r="I54" s="10">
        <v>8779.16</v>
      </c>
      <c r="J54" s="9"/>
      <c r="K54" s="10">
        <f>ROUND((G54-I54),5)</f>
        <v>-8880.73</v>
      </c>
    </row>
    <row r="55" spans="1:11">
      <c r="A55" s="1"/>
      <c r="B55" s="1"/>
      <c r="C55" s="1"/>
      <c r="D55" s="1" t="s">
        <v>55</v>
      </c>
      <c r="E55" s="1"/>
      <c r="F55" s="1"/>
      <c r="G55" s="8">
        <f>ROUND(SUM(G53:G54),5)</f>
        <v>-101.57</v>
      </c>
      <c r="H55" s="9"/>
      <c r="I55" s="8">
        <f>ROUND(SUM(I53:I54),5)</f>
        <v>8779.16</v>
      </c>
      <c r="J55" s="9"/>
      <c r="K55" s="8">
        <f>ROUND((G55-I55),5)</f>
        <v>-8880.73</v>
      </c>
    </row>
    <row r="56" spans="1:11">
      <c r="A56" s="1"/>
      <c r="B56" s="1"/>
      <c r="C56" s="1"/>
      <c r="D56" s="1" t="s">
        <v>56</v>
      </c>
      <c r="E56" s="1"/>
      <c r="F56" s="1"/>
      <c r="G56" s="8"/>
      <c r="H56" s="9"/>
      <c r="I56" s="8"/>
      <c r="J56" s="9"/>
      <c r="K56" s="8"/>
    </row>
    <row r="57" spans="1:11">
      <c r="A57" s="1"/>
      <c r="B57" s="1"/>
      <c r="C57" s="1"/>
      <c r="D57" s="1"/>
      <c r="E57" s="1" t="s">
        <v>57</v>
      </c>
      <c r="F57" s="1"/>
      <c r="G57" s="8">
        <v>-1633.81</v>
      </c>
      <c r="H57" s="9"/>
      <c r="I57" s="8">
        <v>0</v>
      </c>
      <c r="J57" s="9"/>
      <c r="K57" s="8">
        <f>ROUND((G57-I57),5)</f>
        <v>-1633.81</v>
      </c>
    </row>
    <row r="58" spans="1:11">
      <c r="A58" s="1"/>
      <c r="B58" s="1"/>
      <c r="C58" s="1"/>
      <c r="D58" s="1"/>
      <c r="E58" s="1" t="s">
        <v>58</v>
      </c>
      <c r="F58" s="1"/>
      <c r="G58" s="8">
        <v>2715.7</v>
      </c>
      <c r="H58" s="9"/>
      <c r="I58" s="8">
        <v>2640.78</v>
      </c>
      <c r="J58" s="9"/>
      <c r="K58" s="8">
        <f>ROUND((G58-I58),5)</f>
        <v>74.92</v>
      </c>
    </row>
    <row r="59" spans="1:11" ht="15" thickBot="1">
      <c r="A59" s="1"/>
      <c r="B59" s="1"/>
      <c r="C59" s="1"/>
      <c r="D59" s="1"/>
      <c r="E59" s="1" t="s">
        <v>59</v>
      </c>
      <c r="F59" s="1"/>
      <c r="G59" s="10">
        <v>1760.43</v>
      </c>
      <c r="H59" s="9"/>
      <c r="I59" s="10">
        <v>0</v>
      </c>
      <c r="J59" s="9"/>
      <c r="K59" s="10">
        <f>ROUND((G59-I59),5)</f>
        <v>1760.43</v>
      </c>
    </row>
    <row r="60" spans="1:11">
      <c r="A60" s="1"/>
      <c r="B60" s="1"/>
      <c r="C60" s="1"/>
      <c r="D60" s="1" t="s">
        <v>60</v>
      </c>
      <c r="E60" s="1"/>
      <c r="F60" s="1"/>
      <c r="G60" s="8">
        <f>ROUND(SUM(G56:G59),5)</f>
        <v>2842.32</v>
      </c>
      <c r="H60" s="9"/>
      <c r="I60" s="8">
        <f>ROUND(SUM(I56:I59),5)</f>
        <v>2640.78</v>
      </c>
      <c r="J60" s="9"/>
      <c r="K60" s="8">
        <f>ROUND((G60-I60),5)</f>
        <v>201.54</v>
      </c>
    </row>
    <row r="61" spans="1:11">
      <c r="A61" s="1"/>
      <c r="B61" s="1"/>
      <c r="C61" s="1"/>
      <c r="D61" s="1" t="s">
        <v>61</v>
      </c>
      <c r="E61" s="1"/>
      <c r="F61" s="1"/>
      <c r="G61" s="8"/>
      <c r="H61" s="9"/>
      <c r="I61" s="8"/>
      <c r="J61" s="9"/>
      <c r="K61" s="8"/>
    </row>
    <row r="62" spans="1:11">
      <c r="A62" s="1"/>
      <c r="B62" s="1"/>
      <c r="C62" s="1"/>
      <c r="D62" s="1"/>
      <c r="E62" s="1" t="s">
        <v>62</v>
      </c>
      <c r="F62" s="1"/>
      <c r="G62" s="8">
        <v>196.05</v>
      </c>
      <c r="H62" s="9"/>
      <c r="I62" s="8">
        <v>59.38</v>
      </c>
      <c r="J62" s="9"/>
      <c r="K62" s="8">
        <f>ROUND((G62-I62),5)</f>
        <v>136.66999999999999</v>
      </c>
    </row>
    <row r="63" spans="1:11">
      <c r="A63" s="1"/>
      <c r="B63" s="1"/>
      <c r="C63" s="1"/>
      <c r="D63" s="1"/>
      <c r="E63" s="1" t="s">
        <v>63</v>
      </c>
      <c r="F63" s="1"/>
      <c r="G63" s="8">
        <v>3047.11</v>
      </c>
      <c r="H63" s="9"/>
      <c r="I63" s="8">
        <v>3732.35</v>
      </c>
      <c r="J63" s="9"/>
      <c r="K63" s="8">
        <f>ROUND((G63-I63),5)</f>
        <v>-685.24</v>
      </c>
    </row>
    <row r="64" spans="1:11">
      <c r="A64" s="1"/>
      <c r="B64" s="1"/>
      <c r="C64" s="1"/>
      <c r="D64" s="1"/>
      <c r="E64" s="1" t="s">
        <v>64</v>
      </c>
      <c r="F64" s="1"/>
      <c r="G64" s="8">
        <v>-323</v>
      </c>
      <c r="H64" s="9"/>
      <c r="I64" s="8">
        <v>-323</v>
      </c>
      <c r="J64" s="9"/>
      <c r="K64" s="8">
        <f>ROUND((G64-I64),5)</f>
        <v>0</v>
      </c>
    </row>
    <row r="65" spans="1:11">
      <c r="A65" s="1"/>
      <c r="B65" s="1"/>
      <c r="C65" s="1"/>
      <c r="D65" s="1"/>
      <c r="E65" s="1" t="s">
        <v>65</v>
      </c>
      <c r="F65" s="1"/>
      <c r="G65" s="8">
        <v>34.630000000000003</v>
      </c>
      <c r="H65" s="9"/>
      <c r="I65" s="8">
        <v>0</v>
      </c>
      <c r="J65" s="9"/>
      <c r="K65" s="8">
        <f>ROUND((G65-I65),5)</f>
        <v>34.630000000000003</v>
      </c>
    </row>
    <row r="66" spans="1:11">
      <c r="A66" s="1"/>
      <c r="B66" s="1"/>
      <c r="C66" s="1"/>
      <c r="D66" s="1"/>
      <c r="E66" s="1" t="s">
        <v>66</v>
      </c>
      <c r="F66" s="1"/>
      <c r="G66" s="8"/>
      <c r="H66" s="9"/>
      <c r="I66" s="8"/>
      <c r="J66" s="9"/>
      <c r="K66" s="8"/>
    </row>
    <row r="67" spans="1:11">
      <c r="A67" s="1"/>
      <c r="B67" s="1"/>
      <c r="C67" s="1"/>
      <c r="D67" s="1"/>
      <c r="E67" s="1"/>
      <c r="F67" s="1" t="s">
        <v>67</v>
      </c>
      <c r="G67" s="8">
        <v>7416.57</v>
      </c>
      <c r="H67" s="9"/>
      <c r="I67" s="8">
        <v>0</v>
      </c>
      <c r="J67" s="9"/>
      <c r="K67" s="8">
        <f t="shared" ref="K67:K74" si="2">ROUND((G67-I67),5)</f>
        <v>7416.57</v>
      </c>
    </row>
    <row r="68" spans="1:11">
      <c r="A68" s="1"/>
      <c r="B68" s="1"/>
      <c r="C68" s="1"/>
      <c r="D68" s="1"/>
      <c r="E68" s="1"/>
      <c r="F68" s="1" t="s">
        <v>68</v>
      </c>
      <c r="G68" s="8">
        <v>50390.5</v>
      </c>
      <c r="H68" s="9"/>
      <c r="I68" s="8">
        <v>49337.5</v>
      </c>
      <c r="J68" s="9"/>
      <c r="K68" s="8">
        <f t="shared" si="2"/>
        <v>1053</v>
      </c>
    </row>
    <row r="69" spans="1:11">
      <c r="A69" s="1"/>
      <c r="B69" s="1"/>
      <c r="C69" s="1"/>
      <c r="D69" s="1"/>
      <c r="E69" s="1"/>
      <c r="F69" s="1" t="s">
        <v>69</v>
      </c>
      <c r="G69" s="8">
        <v>5623</v>
      </c>
      <c r="H69" s="9"/>
      <c r="I69" s="8">
        <v>-275</v>
      </c>
      <c r="J69" s="9"/>
      <c r="K69" s="8">
        <f t="shared" si="2"/>
        <v>5898</v>
      </c>
    </row>
    <row r="70" spans="1:11">
      <c r="A70" s="1"/>
      <c r="B70" s="1"/>
      <c r="C70" s="1"/>
      <c r="D70" s="1"/>
      <c r="E70" s="1"/>
      <c r="F70" s="1" t="s">
        <v>70</v>
      </c>
      <c r="G70" s="8">
        <v>13510</v>
      </c>
      <c r="H70" s="9"/>
      <c r="I70" s="8">
        <v>0</v>
      </c>
      <c r="J70" s="9"/>
      <c r="K70" s="8">
        <f t="shared" si="2"/>
        <v>13510</v>
      </c>
    </row>
    <row r="71" spans="1:11" ht="15" thickBot="1">
      <c r="A71" s="1"/>
      <c r="B71" s="1"/>
      <c r="C71" s="1"/>
      <c r="D71" s="1"/>
      <c r="E71" s="1"/>
      <c r="F71" s="1" t="s">
        <v>71</v>
      </c>
      <c r="G71" s="11">
        <v>25160</v>
      </c>
      <c r="H71" s="9"/>
      <c r="I71" s="11">
        <v>9800</v>
      </c>
      <c r="J71" s="9"/>
      <c r="K71" s="11">
        <f t="shared" si="2"/>
        <v>15360</v>
      </c>
    </row>
    <row r="72" spans="1:11" ht="15" thickBot="1">
      <c r="A72" s="1"/>
      <c r="B72" s="1"/>
      <c r="C72" s="1"/>
      <c r="D72" s="1"/>
      <c r="E72" s="1" t="s">
        <v>72</v>
      </c>
      <c r="F72" s="1"/>
      <c r="G72" s="13">
        <f>ROUND(SUM(G66:G71),5)</f>
        <v>102100.07</v>
      </c>
      <c r="H72" s="9"/>
      <c r="I72" s="13">
        <f>ROUND(SUM(I66:I71),5)</f>
        <v>58862.5</v>
      </c>
      <c r="J72" s="9"/>
      <c r="K72" s="13">
        <f t="shared" si="2"/>
        <v>43237.57</v>
      </c>
    </row>
    <row r="73" spans="1:11" ht="15" thickBot="1">
      <c r="A73" s="1"/>
      <c r="B73" s="1"/>
      <c r="C73" s="1"/>
      <c r="D73" s="1" t="s">
        <v>73</v>
      </c>
      <c r="E73" s="1"/>
      <c r="F73" s="1"/>
      <c r="G73" s="12">
        <f>ROUND(SUM(G61:G65)+G72,5)</f>
        <v>105054.86</v>
      </c>
      <c r="H73" s="9"/>
      <c r="I73" s="12">
        <f>ROUND(SUM(I61:I65)+I72,5)</f>
        <v>62331.23</v>
      </c>
      <c r="J73" s="9"/>
      <c r="K73" s="12">
        <f t="shared" si="2"/>
        <v>42723.63</v>
      </c>
    </row>
    <row r="74" spans="1:11">
      <c r="A74" s="1"/>
      <c r="B74" s="1"/>
      <c r="C74" s="1" t="s">
        <v>74</v>
      </c>
      <c r="D74" s="1"/>
      <c r="E74" s="1"/>
      <c r="F74" s="1"/>
      <c r="G74" s="8">
        <f>ROUND(G52+G55+G60+G73,5)</f>
        <v>107795.61</v>
      </c>
      <c r="H74" s="9"/>
      <c r="I74" s="8">
        <f>ROUND(I52+I55+I60+I73,5)</f>
        <v>73751.17</v>
      </c>
      <c r="J74" s="9"/>
      <c r="K74" s="8">
        <f t="shared" si="2"/>
        <v>34044.44</v>
      </c>
    </row>
    <row r="75" spans="1:11">
      <c r="A75" s="1"/>
      <c r="B75" s="1"/>
      <c r="C75" s="1" t="s">
        <v>75</v>
      </c>
      <c r="D75" s="1"/>
      <c r="E75" s="1"/>
      <c r="F75" s="1"/>
      <c r="G75" s="8"/>
      <c r="H75" s="9"/>
      <c r="I75" s="8"/>
      <c r="J75" s="9"/>
      <c r="K75" s="8"/>
    </row>
    <row r="76" spans="1:11">
      <c r="A76" s="1"/>
      <c r="B76" s="1"/>
      <c r="C76" s="1"/>
      <c r="D76" s="1" t="s">
        <v>76</v>
      </c>
      <c r="E76" s="1"/>
      <c r="F76" s="1"/>
      <c r="G76" s="8">
        <v>252800.87</v>
      </c>
      <c r="H76" s="9"/>
      <c r="I76" s="8">
        <v>262867.8</v>
      </c>
      <c r="J76" s="9"/>
      <c r="K76" s="8">
        <f>ROUND((G76-I76),5)</f>
        <v>-10066.93</v>
      </c>
    </row>
    <row r="77" spans="1:11" ht="15" thickBot="1">
      <c r="A77" s="1"/>
      <c r="B77" s="1"/>
      <c r="C77" s="1"/>
      <c r="D77" s="1" t="s">
        <v>77</v>
      </c>
      <c r="E77" s="1"/>
      <c r="F77" s="1"/>
      <c r="G77" s="11">
        <v>223300</v>
      </c>
      <c r="H77" s="9"/>
      <c r="I77" s="11">
        <v>213300</v>
      </c>
      <c r="J77" s="9"/>
      <c r="K77" s="11">
        <f>ROUND((G77-I77),5)</f>
        <v>10000</v>
      </c>
    </row>
    <row r="78" spans="1:11" ht="15" thickBot="1">
      <c r="A78" s="1"/>
      <c r="B78" s="1"/>
      <c r="C78" s="1" t="s">
        <v>78</v>
      </c>
      <c r="D78" s="1"/>
      <c r="E78" s="1"/>
      <c r="F78" s="1"/>
      <c r="G78" s="12">
        <f>ROUND(SUM(G75:G77),5)</f>
        <v>476100.87</v>
      </c>
      <c r="H78" s="9"/>
      <c r="I78" s="12">
        <f>ROUND(SUM(I75:I77),5)</f>
        <v>476167.8</v>
      </c>
      <c r="J78" s="9"/>
      <c r="K78" s="12">
        <f>ROUND((G78-I78),5)</f>
        <v>-66.930000000000007</v>
      </c>
    </row>
    <row r="79" spans="1:11">
      <c r="A79" s="1"/>
      <c r="B79" s="1" t="s">
        <v>79</v>
      </c>
      <c r="C79" s="1"/>
      <c r="D79" s="1"/>
      <c r="E79" s="1"/>
      <c r="F79" s="1"/>
      <c r="G79" s="8">
        <f>ROUND(G51+G74+G78,5)</f>
        <v>583896.48</v>
      </c>
      <c r="H79" s="9"/>
      <c r="I79" s="8">
        <f>ROUND(I51+I74+I78,5)</f>
        <v>549918.97</v>
      </c>
      <c r="J79" s="9"/>
      <c r="K79" s="8">
        <f>ROUND((G79-I79),5)</f>
        <v>33977.51</v>
      </c>
    </row>
    <row r="80" spans="1:11">
      <c r="A80" s="1"/>
      <c r="B80" s="1" t="s">
        <v>80</v>
      </c>
      <c r="C80" s="1"/>
      <c r="D80" s="1"/>
      <c r="E80" s="1"/>
      <c r="F80" s="1"/>
      <c r="G80" s="8"/>
      <c r="H80" s="9"/>
      <c r="I80" s="8"/>
      <c r="J80" s="9"/>
      <c r="K80" s="8"/>
    </row>
    <row r="81" spans="1:11">
      <c r="A81" s="1"/>
      <c r="B81" s="1"/>
      <c r="C81" s="1" t="s">
        <v>81</v>
      </c>
      <c r="D81" s="1"/>
      <c r="E81" s="1"/>
      <c r="F81" s="1"/>
      <c r="G81" s="8">
        <v>40796.79</v>
      </c>
      <c r="H81" s="9"/>
      <c r="I81" s="8">
        <v>119127.26</v>
      </c>
      <c r="J81" s="9"/>
      <c r="K81" s="8">
        <f>ROUND((G81-I81),5)</f>
        <v>-78330.47</v>
      </c>
    </row>
    <row r="82" spans="1:11">
      <c r="A82" s="1"/>
      <c r="B82" s="1"/>
      <c r="C82" s="1" t="s">
        <v>82</v>
      </c>
      <c r="D82" s="1"/>
      <c r="E82" s="1"/>
      <c r="F82" s="1"/>
      <c r="G82" s="8">
        <v>836660.45</v>
      </c>
      <c r="H82" s="9"/>
      <c r="I82" s="8">
        <v>956666.23</v>
      </c>
      <c r="J82" s="9"/>
      <c r="K82" s="8">
        <f>ROUND((G82-I82),5)</f>
        <v>-120005.78</v>
      </c>
    </row>
    <row r="83" spans="1:11" ht="15" thickBot="1">
      <c r="A83" s="1"/>
      <c r="B83" s="1"/>
      <c r="C83" s="1" t="s">
        <v>83</v>
      </c>
      <c r="D83" s="1"/>
      <c r="E83" s="1"/>
      <c r="F83" s="1"/>
      <c r="G83" s="11">
        <v>-15040.35</v>
      </c>
      <c r="H83" s="9"/>
      <c r="I83" s="11">
        <v>-30378.44</v>
      </c>
      <c r="J83" s="9"/>
      <c r="K83" s="11">
        <f>ROUND((G83-I83),5)</f>
        <v>15338.09</v>
      </c>
    </row>
    <row r="84" spans="1:11" ht="15" thickBot="1">
      <c r="A84" s="1"/>
      <c r="B84" s="1" t="s">
        <v>84</v>
      </c>
      <c r="C84" s="1"/>
      <c r="D84" s="1"/>
      <c r="E84" s="1"/>
      <c r="F84" s="1"/>
      <c r="G84" s="13">
        <f>ROUND(SUM(G80:G83),5)</f>
        <v>862416.89</v>
      </c>
      <c r="H84" s="9"/>
      <c r="I84" s="13">
        <f>ROUND(SUM(I80:I83),5)</f>
        <v>1045415.05</v>
      </c>
      <c r="J84" s="9"/>
      <c r="K84" s="13">
        <f>ROUND((G84-I84),5)</f>
        <v>-182998.16</v>
      </c>
    </row>
    <row r="85" spans="1:11" s="15" customFormat="1" ht="10.8" thickBot="1">
      <c r="A85" s="1" t="s">
        <v>85</v>
      </c>
      <c r="B85" s="1"/>
      <c r="C85" s="1"/>
      <c r="D85" s="1"/>
      <c r="E85" s="1"/>
      <c r="F85" s="1"/>
      <c r="G85" s="14">
        <f>ROUND(G50+G79+G84,5)</f>
        <v>1446313.37</v>
      </c>
      <c r="H85" s="1"/>
      <c r="I85" s="14">
        <f>ROUND(I50+I79+I84,5)</f>
        <v>1595334.02</v>
      </c>
      <c r="J85" s="1"/>
      <c r="K85" s="14">
        <f>ROUND((G85-I85),5)</f>
        <v>-149020.65</v>
      </c>
    </row>
    <row r="86" spans="1:11" ht="15" thickTop="1"/>
  </sheetData>
  <pageMargins left="0.7" right="0.7" top="0.75" bottom="0.75" header="0.1" footer="0.3"/>
  <pageSetup orientation="portrait" r:id="rId1"/>
  <headerFooter>
    <oddHeader>&amp;L&amp;"Arial,Bold"&amp;8 4:47 PM
&amp;"Arial,Bold"&amp;8 07/15/16
&amp;"Arial,Bold"&amp;8 Accrual Basis&amp;C&amp;"Arial,Bold"&amp;12 ArtsWest
&amp;"Arial,Bold"&amp;14 Balance Sheet Prev Year Comparison
&amp;"Arial,Bold"&amp;10 As of June 30,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138"/>
  <sheetViews>
    <sheetView workbookViewId="0">
      <pane xSplit="7" ySplit="2" topLeftCell="H110" activePane="bottomRight" state="frozenSplit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4.4"/>
  <cols>
    <col min="1" max="6" width="3" style="16" customWidth="1"/>
    <col min="7" max="7" width="28.88671875" style="16" customWidth="1"/>
    <col min="8" max="8" width="7.88671875" style="17" bestFit="1" customWidth="1"/>
    <col min="9" max="9" width="2.33203125" style="17" customWidth="1"/>
    <col min="10" max="10" width="11.77734375" style="17" bestFit="1" customWidth="1"/>
    <col min="11" max="11" width="2.33203125" style="17" customWidth="1"/>
    <col min="12" max="12" width="9.109375" style="17" bestFit="1" customWidth="1"/>
    <col min="13" max="13" width="2.33203125" style="17" customWidth="1"/>
    <col min="14" max="14" width="9.109375" style="17" bestFit="1" customWidth="1"/>
    <col min="15" max="15" width="2.33203125" style="17" customWidth="1"/>
    <col min="16" max="16" width="11.21875" style="17" bestFit="1" customWidth="1"/>
    <col min="17" max="17" width="2.33203125" customWidth="1"/>
    <col min="18" max="18" width="12" customWidth="1"/>
    <col min="19" max="19" width="2.33203125" customWidth="1"/>
  </cols>
  <sheetData>
    <row r="1" spans="1:20" ht="15" thickBot="1">
      <c r="A1" s="1"/>
      <c r="B1" s="1"/>
      <c r="C1" s="1"/>
      <c r="D1" s="1"/>
      <c r="E1" s="1"/>
      <c r="F1" s="1"/>
      <c r="G1" s="1"/>
      <c r="H1" s="2"/>
      <c r="I1" s="3"/>
      <c r="J1" s="2"/>
      <c r="K1" s="3"/>
      <c r="L1" s="2"/>
      <c r="M1" s="3"/>
      <c r="N1" s="2"/>
      <c r="O1" s="3"/>
      <c r="P1" s="2"/>
      <c r="Q1" s="18"/>
      <c r="R1" s="18"/>
      <c r="S1" s="18"/>
      <c r="T1" s="18"/>
    </row>
    <row r="2" spans="1:20" s="7" customFormat="1" ht="15.6" thickTop="1" thickBot="1">
      <c r="A2" s="4"/>
      <c r="B2" s="4"/>
      <c r="C2" s="4"/>
      <c r="D2" s="4"/>
      <c r="E2" s="4"/>
      <c r="F2" s="4"/>
      <c r="G2" s="4"/>
      <c r="H2" s="5" t="s">
        <v>86</v>
      </c>
      <c r="I2" s="6"/>
      <c r="J2" s="5" t="s">
        <v>87</v>
      </c>
      <c r="K2" s="6"/>
      <c r="L2" s="5" t="s">
        <v>88</v>
      </c>
      <c r="M2" s="6"/>
      <c r="N2" s="5" t="s">
        <v>89</v>
      </c>
      <c r="O2" s="6"/>
      <c r="P2" s="5" t="s">
        <v>90</v>
      </c>
      <c r="R2" s="19" t="s">
        <v>91</v>
      </c>
      <c r="S2" s="20"/>
      <c r="T2" s="21" t="s">
        <v>89</v>
      </c>
    </row>
    <row r="3" spans="1:20" ht="15" thickTop="1">
      <c r="A3" s="1"/>
      <c r="B3" s="1" t="s">
        <v>92</v>
      </c>
      <c r="C3" s="1"/>
      <c r="D3" s="1"/>
      <c r="E3" s="1"/>
      <c r="F3" s="1"/>
      <c r="G3" s="1"/>
      <c r="H3" s="22"/>
      <c r="I3" s="9"/>
      <c r="J3" s="22"/>
      <c r="K3" s="9"/>
      <c r="L3" s="22"/>
      <c r="M3" s="9"/>
      <c r="N3" s="23"/>
      <c r="O3" s="9"/>
      <c r="P3" s="22"/>
    </row>
    <row r="4" spans="1:20">
      <c r="A4" s="1"/>
      <c r="B4" s="1"/>
      <c r="C4" s="1"/>
      <c r="D4" s="1" t="s">
        <v>93</v>
      </c>
      <c r="E4" s="1"/>
      <c r="F4" s="1"/>
      <c r="G4" s="1"/>
      <c r="H4" s="22"/>
      <c r="I4" s="9"/>
      <c r="J4" s="22"/>
      <c r="K4" s="9"/>
      <c r="L4" s="22"/>
      <c r="M4" s="9"/>
      <c r="N4" s="23"/>
      <c r="O4" s="9"/>
      <c r="P4" s="22"/>
    </row>
    <row r="5" spans="1:20">
      <c r="A5" s="1"/>
      <c r="B5" s="1"/>
      <c r="C5" s="1"/>
      <c r="D5" s="1"/>
      <c r="E5" s="1" t="s">
        <v>94</v>
      </c>
      <c r="F5" s="1"/>
      <c r="G5" s="1"/>
      <c r="H5" s="22"/>
      <c r="I5" s="9"/>
      <c r="J5" s="22"/>
      <c r="K5" s="9"/>
      <c r="L5" s="22"/>
      <c r="M5" s="9"/>
      <c r="N5" s="23"/>
      <c r="O5" s="9"/>
      <c r="P5" s="22"/>
    </row>
    <row r="6" spans="1:20">
      <c r="A6" s="1"/>
      <c r="B6" s="1"/>
      <c r="C6" s="1"/>
      <c r="D6" s="1"/>
      <c r="E6" s="1"/>
      <c r="F6" s="1" t="s">
        <v>95</v>
      </c>
      <c r="G6" s="1"/>
      <c r="H6" s="22">
        <v>15301.59</v>
      </c>
      <c r="I6" s="9"/>
      <c r="J6" s="22">
        <v>83922.25</v>
      </c>
      <c r="K6" s="9"/>
      <c r="L6" s="22">
        <v>77855</v>
      </c>
      <c r="M6" s="9"/>
      <c r="N6" s="23">
        <f t="shared" ref="N6:N13" si="0">ROUND(IF(L6=0, IF(J6=0, 0, 1), J6/L6),5)</f>
        <v>1.0779300000000001</v>
      </c>
      <c r="O6" s="9"/>
      <c r="P6" s="22">
        <v>77855</v>
      </c>
      <c r="R6" s="24">
        <v>87692</v>
      </c>
      <c r="T6" s="23">
        <f>SUM(J6/R6)</f>
        <v>0.95701147197007708</v>
      </c>
    </row>
    <row r="7" spans="1:20">
      <c r="A7" s="1"/>
      <c r="B7" s="1"/>
      <c r="C7" s="1"/>
      <c r="D7" s="1"/>
      <c r="E7" s="1"/>
      <c r="F7" s="1" t="s">
        <v>96</v>
      </c>
      <c r="G7" s="1"/>
      <c r="H7" s="22">
        <v>42131.17</v>
      </c>
      <c r="I7" s="9"/>
      <c r="J7" s="22">
        <v>267652.40000000002</v>
      </c>
      <c r="K7" s="9"/>
      <c r="L7" s="22">
        <v>309270</v>
      </c>
      <c r="M7" s="9"/>
      <c r="N7" s="23">
        <f t="shared" si="0"/>
        <v>0.86543000000000003</v>
      </c>
      <c r="O7" s="9"/>
      <c r="P7" s="22">
        <v>309270</v>
      </c>
      <c r="R7" s="24">
        <v>260785</v>
      </c>
      <c r="T7" s="23">
        <f t="shared" ref="T7:T13" si="1">SUM(J7/R7)</f>
        <v>1.0263335697988765</v>
      </c>
    </row>
    <row r="8" spans="1:20">
      <c r="A8" s="1"/>
      <c r="B8" s="1"/>
      <c r="C8" s="1"/>
      <c r="D8" s="1"/>
      <c r="E8" s="1"/>
      <c r="F8" s="1" t="s">
        <v>97</v>
      </c>
      <c r="G8" s="1"/>
      <c r="H8" s="22">
        <v>0</v>
      </c>
      <c r="I8" s="9"/>
      <c r="J8" s="22">
        <v>0</v>
      </c>
      <c r="K8" s="9"/>
      <c r="L8" s="22">
        <v>1500</v>
      </c>
      <c r="M8" s="9"/>
      <c r="N8" s="23">
        <f t="shared" si="0"/>
        <v>0</v>
      </c>
      <c r="O8" s="9"/>
      <c r="P8" s="22">
        <v>1500</v>
      </c>
      <c r="R8" s="24">
        <v>1500</v>
      </c>
      <c r="T8" s="23">
        <f t="shared" si="1"/>
        <v>0</v>
      </c>
    </row>
    <row r="9" spans="1:20">
      <c r="A9" s="1"/>
      <c r="B9" s="1"/>
      <c r="C9" s="1"/>
      <c r="D9" s="1"/>
      <c r="E9" s="1"/>
      <c r="F9" s="1" t="s">
        <v>98</v>
      </c>
      <c r="G9" s="1"/>
      <c r="H9" s="22">
        <v>660.5</v>
      </c>
      <c r="I9" s="9"/>
      <c r="J9" s="22">
        <v>25877</v>
      </c>
      <c r="K9" s="9"/>
      <c r="L9" s="22">
        <v>29432</v>
      </c>
      <c r="M9" s="9"/>
      <c r="N9" s="23">
        <f t="shared" si="0"/>
        <v>0.87921000000000005</v>
      </c>
      <c r="O9" s="9"/>
      <c r="P9" s="22">
        <v>29432</v>
      </c>
      <c r="R9" s="24">
        <v>24278</v>
      </c>
      <c r="T9" s="23">
        <f t="shared" si="1"/>
        <v>1.0658620973721065</v>
      </c>
    </row>
    <row r="10" spans="1:20">
      <c r="A10" s="1"/>
      <c r="B10" s="1"/>
      <c r="C10" s="1"/>
      <c r="D10" s="1"/>
      <c r="E10" s="1"/>
      <c r="F10" s="1" t="s">
        <v>99</v>
      </c>
      <c r="G10" s="1"/>
      <c r="H10" s="22">
        <v>0</v>
      </c>
      <c r="I10" s="9"/>
      <c r="J10" s="22">
        <v>50</v>
      </c>
      <c r="K10" s="9"/>
      <c r="L10" s="22">
        <v>61855</v>
      </c>
      <c r="M10" s="9"/>
      <c r="N10" s="23">
        <f t="shared" si="0"/>
        <v>8.0999999999999996E-4</v>
      </c>
      <c r="O10" s="9"/>
      <c r="P10" s="22">
        <v>61855</v>
      </c>
      <c r="R10" s="24">
        <v>46000</v>
      </c>
      <c r="T10" s="23">
        <f t="shared" si="1"/>
        <v>1.0869565217391304E-3</v>
      </c>
    </row>
    <row r="11" spans="1:20">
      <c r="A11" s="1"/>
      <c r="B11" s="1"/>
      <c r="C11" s="1"/>
      <c r="D11" s="1"/>
      <c r="E11" s="1"/>
      <c r="F11" s="1" t="s">
        <v>100</v>
      </c>
      <c r="G11" s="1"/>
      <c r="H11" s="22">
        <v>280</v>
      </c>
      <c r="I11" s="9"/>
      <c r="J11" s="22">
        <v>300</v>
      </c>
      <c r="K11" s="9"/>
      <c r="L11" s="22">
        <v>4000</v>
      </c>
      <c r="M11" s="9"/>
      <c r="N11" s="23">
        <f t="shared" si="0"/>
        <v>7.4999999999999997E-2</v>
      </c>
      <c r="O11" s="9"/>
      <c r="P11" s="22">
        <v>4000</v>
      </c>
      <c r="R11" s="24">
        <v>4000</v>
      </c>
      <c r="T11" s="23">
        <f t="shared" si="1"/>
        <v>7.4999999999999997E-2</v>
      </c>
    </row>
    <row r="12" spans="1:20" ht="15" thickBot="1">
      <c r="A12" s="1"/>
      <c r="B12" s="1"/>
      <c r="C12" s="1"/>
      <c r="D12" s="1"/>
      <c r="E12" s="1"/>
      <c r="F12" s="1" t="s">
        <v>101</v>
      </c>
      <c r="G12" s="1"/>
      <c r="H12" s="25">
        <v>0</v>
      </c>
      <c r="I12" s="9"/>
      <c r="J12" s="25">
        <v>0</v>
      </c>
      <c r="K12" s="9"/>
      <c r="L12" s="25">
        <v>0</v>
      </c>
      <c r="M12" s="9"/>
      <c r="N12" s="26">
        <f t="shared" si="0"/>
        <v>0</v>
      </c>
      <c r="O12" s="9"/>
      <c r="P12" s="25">
        <v>0</v>
      </c>
      <c r="R12" s="27">
        <v>0</v>
      </c>
      <c r="T12" s="26">
        <v>0</v>
      </c>
    </row>
    <row r="13" spans="1:20">
      <c r="A13" s="1"/>
      <c r="B13" s="1"/>
      <c r="C13" s="1"/>
      <c r="D13" s="1"/>
      <c r="E13" s="1" t="s">
        <v>102</v>
      </c>
      <c r="F13" s="1"/>
      <c r="G13" s="1"/>
      <c r="H13" s="22">
        <f>ROUND(SUM(H5:H12),5)</f>
        <v>58373.26</v>
      </c>
      <c r="I13" s="9"/>
      <c r="J13" s="22">
        <f>ROUND(SUM(J5:J12),5)</f>
        <v>377801.65</v>
      </c>
      <c r="K13" s="9"/>
      <c r="L13" s="22">
        <f>ROUND(SUM(L5:L12),5)</f>
        <v>483912</v>
      </c>
      <c r="M13" s="9"/>
      <c r="N13" s="23">
        <f t="shared" si="0"/>
        <v>0.78071999999999997</v>
      </c>
      <c r="O13" s="9"/>
      <c r="P13" s="22">
        <f>ROUND(SUM(P5:P12),5)</f>
        <v>483912</v>
      </c>
      <c r="R13" s="24">
        <f>SUM(R6:R12)</f>
        <v>424255</v>
      </c>
      <c r="T13" s="23">
        <f t="shared" si="1"/>
        <v>0.89050606357025852</v>
      </c>
    </row>
    <row r="14" spans="1:20">
      <c r="A14" s="1"/>
      <c r="B14" s="1"/>
      <c r="C14" s="1"/>
      <c r="D14" s="1"/>
      <c r="E14" s="1" t="s">
        <v>103</v>
      </c>
      <c r="F14" s="1"/>
      <c r="G14" s="1"/>
      <c r="H14" s="22"/>
      <c r="I14" s="9"/>
      <c r="J14" s="22"/>
      <c r="K14" s="9"/>
      <c r="L14" s="22"/>
      <c r="M14" s="9"/>
      <c r="N14" s="23"/>
      <c r="O14" s="9"/>
      <c r="P14" s="22"/>
    </row>
    <row r="15" spans="1:20">
      <c r="A15" s="1"/>
      <c r="B15" s="1"/>
      <c r="C15" s="1"/>
      <c r="D15" s="1"/>
      <c r="E15" s="1"/>
      <c r="F15" s="1" t="s">
        <v>104</v>
      </c>
      <c r="G15" s="1"/>
      <c r="H15" s="22">
        <v>0</v>
      </c>
      <c r="I15" s="9"/>
      <c r="J15" s="22">
        <v>73</v>
      </c>
      <c r="K15" s="9"/>
      <c r="L15" s="22">
        <v>1900</v>
      </c>
      <c r="M15" s="9"/>
      <c r="N15" s="23">
        <f t="shared" ref="N15:N20" si="2">ROUND(IF(L15=0, IF(J15=0, 0, 1), J15/L15),5)</f>
        <v>3.8420000000000003E-2</v>
      </c>
      <c r="O15" s="9"/>
      <c r="P15" s="22">
        <v>1900</v>
      </c>
      <c r="R15" s="24">
        <v>1000</v>
      </c>
      <c r="T15" s="23">
        <f>SUM(J15/R15)</f>
        <v>7.2999999999999995E-2</v>
      </c>
    </row>
    <row r="16" spans="1:20">
      <c r="A16" s="1"/>
      <c r="B16" s="1"/>
      <c r="C16" s="1"/>
      <c r="D16" s="1"/>
      <c r="E16" s="1"/>
      <c r="F16" s="1" t="s">
        <v>105</v>
      </c>
      <c r="G16" s="1"/>
      <c r="H16" s="22">
        <v>0</v>
      </c>
      <c r="I16" s="9"/>
      <c r="J16" s="22">
        <v>10808</v>
      </c>
      <c r="K16" s="9"/>
      <c r="L16" s="22">
        <v>9000</v>
      </c>
      <c r="M16" s="9"/>
      <c r="N16" s="23">
        <f t="shared" si="2"/>
        <v>1.20089</v>
      </c>
      <c r="O16" s="9"/>
      <c r="P16" s="22">
        <v>9000</v>
      </c>
      <c r="R16" s="24">
        <v>10500</v>
      </c>
      <c r="T16" s="23">
        <f t="shared" ref="T16:T20" si="3">SUM(J16/R16)</f>
        <v>1.0293333333333334</v>
      </c>
    </row>
    <row r="17" spans="1:20">
      <c r="A17" s="1"/>
      <c r="B17" s="1"/>
      <c r="C17" s="1"/>
      <c r="D17" s="1"/>
      <c r="E17" s="1"/>
      <c r="F17" s="1" t="s">
        <v>106</v>
      </c>
      <c r="G17" s="1"/>
      <c r="H17" s="22">
        <v>0</v>
      </c>
      <c r="I17" s="9"/>
      <c r="J17" s="22">
        <v>21107.02</v>
      </c>
      <c r="K17" s="9"/>
      <c r="L17" s="22">
        <v>22000</v>
      </c>
      <c r="M17" s="9"/>
      <c r="N17" s="23">
        <f t="shared" si="2"/>
        <v>0.95940999999999999</v>
      </c>
      <c r="O17" s="9"/>
      <c r="P17" s="22">
        <v>22000</v>
      </c>
      <c r="R17" s="24">
        <v>17000</v>
      </c>
      <c r="T17" s="23">
        <f t="shared" si="3"/>
        <v>1.2415894117647059</v>
      </c>
    </row>
    <row r="18" spans="1:20">
      <c r="A18" s="1"/>
      <c r="B18" s="1"/>
      <c r="C18" s="1"/>
      <c r="D18" s="1"/>
      <c r="E18" s="1"/>
      <c r="F18" s="1" t="s">
        <v>107</v>
      </c>
      <c r="G18" s="1"/>
      <c r="H18" s="22">
        <v>9.14</v>
      </c>
      <c r="I18" s="9"/>
      <c r="J18" s="22">
        <v>109.52</v>
      </c>
      <c r="K18" s="9"/>
      <c r="L18" s="22">
        <v>0</v>
      </c>
      <c r="M18" s="9"/>
      <c r="N18" s="23">
        <f t="shared" si="2"/>
        <v>1</v>
      </c>
      <c r="O18" s="9"/>
      <c r="P18" s="22">
        <v>0</v>
      </c>
      <c r="R18" s="24">
        <v>100</v>
      </c>
      <c r="T18" s="23">
        <f t="shared" si="3"/>
        <v>1.0952</v>
      </c>
    </row>
    <row r="19" spans="1:20" ht="15" thickBot="1">
      <c r="A19" s="1"/>
      <c r="B19" s="1"/>
      <c r="C19" s="1"/>
      <c r="D19" s="1"/>
      <c r="E19" s="1"/>
      <c r="F19" s="1" t="s">
        <v>108</v>
      </c>
      <c r="G19" s="1"/>
      <c r="H19" s="25">
        <v>800</v>
      </c>
      <c r="I19" s="9"/>
      <c r="J19" s="25">
        <v>1000</v>
      </c>
      <c r="K19" s="9"/>
      <c r="L19" s="25">
        <v>0</v>
      </c>
      <c r="M19" s="9"/>
      <c r="N19" s="26">
        <f t="shared" si="2"/>
        <v>1</v>
      </c>
      <c r="O19" s="9"/>
      <c r="P19" s="25">
        <v>0</v>
      </c>
      <c r="R19" s="27">
        <v>0</v>
      </c>
      <c r="T19" s="26">
        <v>0</v>
      </c>
    </row>
    <row r="20" spans="1:20">
      <c r="A20" s="1"/>
      <c r="B20" s="1"/>
      <c r="C20" s="1"/>
      <c r="D20" s="1"/>
      <c r="E20" s="1" t="s">
        <v>109</v>
      </c>
      <c r="F20" s="1"/>
      <c r="G20" s="1"/>
      <c r="H20" s="22">
        <f>ROUND(SUM(H14:H19),5)</f>
        <v>809.14</v>
      </c>
      <c r="I20" s="9"/>
      <c r="J20" s="22">
        <f>ROUND(SUM(J14:J19),5)</f>
        <v>33097.54</v>
      </c>
      <c r="K20" s="9"/>
      <c r="L20" s="22">
        <f>ROUND(SUM(L14:L19),5)</f>
        <v>32900</v>
      </c>
      <c r="M20" s="9"/>
      <c r="N20" s="23">
        <f t="shared" si="2"/>
        <v>1.006</v>
      </c>
      <c r="O20" s="9"/>
      <c r="P20" s="22">
        <f>ROUND(SUM(P14:P19),5)</f>
        <v>32900</v>
      </c>
      <c r="R20" s="24">
        <f>SUM(R15:R19)</f>
        <v>28600</v>
      </c>
      <c r="T20" s="23">
        <f t="shared" si="3"/>
        <v>1.1572566433566434</v>
      </c>
    </row>
    <row r="21" spans="1:20">
      <c r="A21" s="1"/>
      <c r="B21" s="1"/>
      <c r="C21" s="1"/>
      <c r="D21" s="1"/>
      <c r="E21" s="1" t="s">
        <v>110</v>
      </c>
      <c r="F21" s="1"/>
      <c r="G21" s="1"/>
      <c r="H21" s="22"/>
      <c r="I21" s="9"/>
      <c r="J21" s="22"/>
      <c r="K21" s="9"/>
      <c r="L21" s="22"/>
      <c r="M21" s="9"/>
      <c r="N21" s="23"/>
      <c r="O21" s="9"/>
      <c r="P21" s="22"/>
    </row>
    <row r="22" spans="1:20">
      <c r="A22" s="1"/>
      <c r="B22" s="1"/>
      <c r="C22" s="1"/>
      <c r="D22" s="1"/>
      <c r="E22" s="1"/>
      <c r="F22" s="1" t="s">
        <v>111</v>
      </c>
      <c r="G22" s="1"/>
      <c r="H22" s="22">
        <v>2000</v>
      </c>
      <c r="I22" s="9"/>
      <c r="J22" s="22">
        <v>19664.169999999998</v>
      </c>
      <c r="K22" s="9"/>
      <c r="L22" s="22">
        <v>29000</v>
      </c>
      <c r="M22" s="9"/>
      <c r="N22" s="23">
        <f t="shared" ref="N22:N35" si="4">ROUND(IF(L22=0, IF(J22=0, 0, 1), J22/L22),5)</f>
        <v>0.67806999999999995</v>
      </c>
      <c r="O22" s="9"/>
      <c r="P22" s="22">
        <v>29000</v>
      </c>
      <c r="R22" s="24">
        <v>22500</v>
      </c>
      <c r="T22" s="23">
        <f>SUM(J22/R22)</f>
        <v>0.87396311111111102</v>
      </c>
    </row>
    <row r="23" spans="1:20">
      <c r="A23" s="1"/>
      <c r="B23" s="1"/>
      <c r="C23" s="1"/>
      <c r="D23" s="1"/>
      <c r="E23" s="1"/>
      <c r="F23" s="1" t="s">
        <v>112</v>
      </c>
      <c r="G23" s="1"/>
      <c r="H23" s="22">
        <v>2019.24</v>
      </c>
      <c r="I23" s="9"/>
      <c r="J23" s="22">
        <v>84491.33</v>
      </c>
      <c r="K23" s="9"/>
      <c r="L23" s="22">
        <v>53220</v>
      </c>
      <c r="M23" s="9"/>
      <c r="N23" s="23">
        <f t="shared" si="4"/>
        <v>1.5875900000000001</v>
      </c>
      <c r="O23" s="9"/>
      <c r="P23" s="22">
        <v>53220</v>
      </c>
      <c r="R23" s="24">
        <v>79720</v>
      </c>
      <c r="T23" s="23">
        <f t="shared" ref="T23:T34" si="5">SUM(J23/R23)</f>
        <v>1.0598511038635223</v>
      </c>
    </row>
    <row r="24" spans="1:20">
      <c r="A24" s="1"/>
      <c r="B24" s="1"/>
      <c r="C24" s="1"/>
      <c r="D24" s="1"/>
      <c r="E24" s="1"/>
      <c r="F24" s="1" t="s">
        <v>113</v>
      </c>
      <c r="G24" s="1"/>
      <c r="H24" s="22">
        <v>0</v>
      </c>
      <c r="I24" s="9"/>
      <c r="J24" s="22">
        <v>4111.18</v>
      </c>
      <c r="K24" s="9"/>
      <c r="L24" s="22">
        <v>41065</v>
      </c>
      <c r="M24" s="9"/>
      <c r="N24" s="23">
        <f t="shared" si="4"/>
        <v>0.10011</v>
      </c>
      <c r="O24" s="9"/>
      <c r="P24" s="22">
        <v>41065</v>
      </c>
      <c r="R24" s="24">
        <v>33295</v>
      </c>
      <c r="T24" s="23">
        <f t="shared" si="5"/>
        <v>0.12347739900886019</v>
      </c>
    </row>
    <row r="25" spans="1:20">
      <c r="A25" s="1"/>
      <c r="B25" s="1"/>
      <c r="C25" s="1"/>
      <c r="D25" s="1"/>
      <c r="E25" s="1"/>
      <c r="F25" s="1" t="s">
        <v>114</v>
      </c>
      <c r="G25" s="1"/>
      <c r="H25" s="22">
        <v>0</v>
      </c>
      <c r="I25" s="9"/>
      <c r="J25" s="22">
        <v>18287.5</v>
      </c>
      <c r="K25" s="9"/>
      <c r="L25" s="22">
        <v>22500</v>
      </c>
      <c r="M25" s="9"/>
      <c r="N25" s="23">
        <f t="shared" si="4"/>
        <v>0.81277999999999995</v>
      </c>
      <c r="O25" s="9"/>
      <c r="P25" s="22">
        <v>22500</v>
      </c>
      <c r="R25" s="24">
        <v>16500</v>
      </c>
      <c r="T25" s="23">
        <f t="shared" si="5"/>
        <v>1.1083333333333334</v>
      </c>
    </row>
    <row r="26" spans="1:20">
      <c r="A26" s="1"/>
      <c r="B26" s="1"/>
      <c r="C26" s="1"/>
      <c r="D26" s="1"/>
      <c r="E26" s="1"/>
      <c r="F26" s="1" t="s">
        <v>115</v>
      </c>
      <c r="G26" s="1"/>
      <c r="H26" s="22">
        <v>1475</v>
      </c>
      <c r="I26" s="9"/>
      <c r="J26" s="22">
        <v>81475</v>
      </c>
      <c r="K26" s="9"/>
      <c r="L26" s="22">
        <v>102270</v>
      </c>
      <c r="M26" s="9"/>
      <c r="N26" s="23">
        <f t="shared" si="4"/>
        <v>0.79666999999999999</v>
      </c>
      <c r="O26" s="9"/>
      <c r="P26" s="22">
        <v>102270</v>
      </c>
      <c r="R26" s="24">
        <v>108730</v>
      </c>
      <c r="T26" s="23">
        <f t="shared" si="5"/>
        <v>0.74933321070541714</v>
      </c>
    </row>
    <row r="27" spans="1:20">
      <c r="A27" s="1"/>
      <c r="B27" s="1"/>
      <c r="C27" s="1"/>
      <c r="D27" s="1"/>
      <c r="E27" s="1"/>
      <c r="F27" s="1" t="s">
        <v>116</v>
      </c>
      <c r="G27" s="1"/>
      <c r="H27" s="22">
        <v>25</v>
      </c>
      <c r="I27" s="9"/>
      <c r="J27" s="22">
        <v>12530.77</v>
      </c>
      <c r="K27" s="9"/>
      <c r="L27" s="22">
        <v>12000</v>
      </c>
      <c r="M27" s="9"/>
      <c r="N27" s="23">
        <f t="shared" si="4"/>
        <v>1.04423</v>
      </c>
      <c r="O27" s="9"/>
      <c r="P27" s="22">
        <v>12000</v>
      </c>
      <c r="R27" s="24">
        <v>14000</v>
      </c>
      <c r="T27" s="23">
        <f t="shared" si="5"/>
        <v>0.89505500000000005</v>
      </c>
    </row>
    <row r="28" spans="1:20">
      <c r="A28" s="1"/>
      <c r="B28" s="1"/>
      <c r="C28" s="1"/>
      <c r="D28" s="1"/>
      <c r="E28" s="1"/>
      <c r="F28" s="1" t="s">
        <v>117</v>
      </c>
      <c r="G28" s="1"/>
      <c r="H28" s="22">
        <v>0</v>
      </c>
      <c r="I28" s="9"/>
      <c r="J28" s="22">
        <v>90.5</v>
      </c>
      <c r="K28" s="9"/>
      <c r="L28" s="22">
        <v>0</v>
      </c>
      <c r="M28" s="9"/>
      <c r="N28" s="23">
        <f t="shared" si="4"/>
        <v>1</v>
      </c>
      <c r="O28" s="9"/>
      <c r="P28" s="22">
        <v>0</v>
      </c>
      <c r="R28" s="24">
        <v>100</v>
      </c>
      <c r="T28" s="23">
        <f t="shared" si="5"/>
        <v>0.90500000000000003</v>
      </c>
    </row>
    <row r="29" spans="1:20">
      <c r="A29" s="1"/>
      <c r="B29" s="1"/>
      <c r="C29" s="1"/>
      <c r="D29" s="1"/>
      <c r="E29" s="1"/>
      <c r="F29" s="1" t="s">
        <v>118</v>
      </c>
      <c r="G29" s="1"/>
      <c r="H29" s="22">
        <v>107072.85</v>
      </c>
      <c r="I29" s="9"/>
      <c r="J29" s="22">
        <v>157758.01999999999</v>
      </c>
      <c r="K29" s="9"/>
      <c r="L29" s="22">
        <v>65100</v>
      </c>
      <c r="M29" s="9"/>
      <c r="N29" s="23">
        <f t="shared" si="4"/>
        <v>2.4233199999999999</v>
      </c>
      <c r="O29" s="9"/>
      <c r="P29" s="22">
        <v>65100</v>
      </c>
      <c r="R29" s="24">
        <v>65100</v>
      </c>
      <c r="T29" s="23">
        <f t="shared" si="5"/>
        <v>2.4233182795698922</v>
      </c>
    </row>
    <row r="30" spans="1:20">
      <c r="A30" s="1"/>
      <c r="B30" s="1"/>
      <c r="C30" s="1"/>
      <c r="D30" s="1"/>
      <c r="E30" s="1"/>
      <c r="F30" s="1" t="s">
        <v>119</v>
      </c>
      <c r="G30" s="1"/>
      <c r="H30" s="22">
        <v>0</v>
      </c>
      <c r="I30" s="9"/>
      <c r="J30" s="22">
        <v>0</v>
      </c>
      <c r="K30" s="9"/>
      <c r="L30" s="22">
        <v>160000</v>
      </c>
      <c r="M30" s="9"/>
      <c r="N30" s="23">
        <f t="shared" si="4"/>
        <v>0</v>
      </c>
      <c r="O30" s="9"/>
      <c r="P30" s="22">
        <v>160000</v>
      </c>
      <c r="R30" s="24">
        <v>165000</v>
      </c>
      <c r="T30" s="23">
        <f t="shared" si="5"/>
        <v>0</v>
      </c>
    </row>
    <row r="31" spans="1:20" ht="15" thickBot="1">
      <c r="A31" s="1"/>
      <c r="B31" s="1"/>
      <c r="C31" s="1"/>
      <c r="D31" s="1"/>
      <c r="E31" s="1"/>
      <c r="F31" s="1" t="s">
        <v>120</v>
      </c>
      <c r="G31" s="1"/>
      <c r="H31" s="25">
        <v>0</v>
      </c>
      <c r="I31" s="9"/>
      <c r="J31" s="25">
        <v>6516.97</v>
      </c>
      <c r="K31" s="9"/>
      <c r="L31" s="25">
        <v>0</v>
      </c>
      <c r="M31" s="9"/>
      <c r="N31" s="26">
        <f t="shared" si="4"/>
        <v>1</v>
      </c>
      <c r="O31" s="9"/>
      <c r="P31" s="25">
        <v>0</v>
      </c>
      <c r="R31" s="27">
        <v>0</v>
      </c>
      <c r="T31" s="26">
        <v>0</v>
      </c>
    </row>
    <row r="32" spans="1:20">
      <c r="A32" s="1"/>
      <c r="B32" s="1"/>
      <c r="C32" s="1"/>
      <c r="D32" s="1"/>
      <c r="E32" s="1" t="s">
        <v>121</v>
      </c>
      <c r="F32" s="1"/>
      <c r="G32" s="1"/>
      <c r="H32" s="22">
        <f>ROUND(SUM(H21:H31),5)</f>
        <v>112592.09</v>
      </c>
      <c r="I32" s="9"/>
      <c r="J32" s="22">
        <f>ROUND(SUM(J21:J31),5)</f>
        <v>384925.44</v>
      </c>
      <c r="K32" s="9"/>
      <c r="L32" s="22">
        <f>ROUND(SUM(L21:L31),5)</f>
        <v>485155</v>
      </c>
      <c r="M32" s="9"/>
      <c r="N32" s="23">
        <f t="shared" si="4"/>
        <v>0.79340999999999995</v>
      </c>
      <c r="O32" s="9"/>
      <c r="P32" s="22">
        <f>ROUND(SUM(P21:P31),5)</f>
        <v>485155</v>
      </c>
      <c r="R32" s="24">
        <f>SUM(R22:R31)</f>
        <v>504945</v>
      </c>
      <c r="T32" s="23">
        <f t="shared" si="5"/>
        <v>0.76231161809702053</v>
      </c>
    </row>
    <row r="33" spans="1:20" ht="15" thickBot="1">
      <c r="A33" s="1"/>
      <c r="B33" s="1"/>
      <c r="C33" s="1"/>
      <c r="D33" s="1"/>
      <c r="E33" s="1" t="s">
        <v>122</v>
      </c>
      <c r="F33" s="1"/>
      <c r="G33" s="1"/>
      <c r="H33" s="28">
        <v>0</v>
      </c>
      <c r="I33" s="9"/>
      <c r="J33" s="28">
        <v>87640.47</v>
      </c>
      <c r="K33" s="9"/>
      <c r="L33" s="28">
        <v>0</v>
      </c>
      <c r="M33" s="9"/>
      <c r="N33" s="29">
        <f t="shared" si="4"/>
        <v>1</v>
      </c>
      <c r="O33" s="9"/>
      <c r="P33" s="28">
        <v>0</v>
      </c>
      <c r="R33" s="27">
        <v>0</v>
      </c>
      <c r="T33" s="26">
        <v>0</v>
      </c>
    </row>
    <row r="34" spans="1:20" ht="15" thickBot="1">
      <c r="A34" s="1"/>
      <c r="B34" s="1"/>
      <c r="C34" s="1"/>
      <c r="D34" s="1" t="s">
        <v>123</v>
      </c>
      <c r="E34" s="1"/>
      <c r="F34" s="1"/>
      <c r="G34" s="1"/>
      <c r="H34" s="30">
        <f>ROUND(H4+H13+H20+SUM(H32:H33),5)</f>
        <v>171774.49</v>
      </c>
      <c r="I34" s="9"/>
      <c r="J34" s="30">
        <f>ROUND(J4+J13+J20+SUM(J32:J33),5)</f>
        <v>883465.1</v>
      </c>
      <c r="K34" s="9"/>
      <c r="L34" s="30">
        <f>ROUND(L4+L13+L20+SUM(L32:L33),5)</f>
        <v>1001967</v>
      </c>
      <c r="M34" s="9"/>
      <c r="N34" s="31">
        <f t="shared" si="4"/>
        <v>0.88173000000000001</v>
      </c>
      <c r="O34" s="9"/>
      <c r="P34" s="30">
        <f>ROUND(P4+P13+P20+SUM(P32:P33),5)</f>
        <v>1001967</v>
      </c>
      <c r="R34" s="27">
        <f>SUM(R33,R32,R20,R13)</f>
        <v>957800</v>
      </c>
      <c r="T34" s="31">
        <f t="shared" si="5"/>
        <v>0.92238995614950925</v>
      </c>
    </row>
    <row r="35" spans="1:20">
      <c r="A35" s="1"/>
      <c r="B35" s="1"/>
      <c r="C35" s="1" t="s">
        <v>124</v>
      </c>
      <c r="D35" s="1"/>
      <c r="E35" s="1"/>
      <c r="F35" s="1"/>
      <c r="G35" s="1"/>
      <c r="H35" s="22">
        <f>H34</f>
        <v>171774.49</v>
      </c>
      <c r="I35" s="9"/>
      <c r="J35" s="22">
        <f>J34</f>
        <v>883465.1</v>
      </c>
      <c r="K35" s="9"/>
      <c r="L35" s="22">
        <f>L34</f>
        <v>1001967</v>
      </c>
      <c r="M35" s="9"/>
      <c r="N35" s="23">
        <f t="shared" si="4"/>
        <v>0.88173000000000001</v>
      </c>
      <c r="O35" s="9"/>
      <c r="P35" s="22">
        <f>P34</f>
        <v>1001967</v>
      </c>
    </row>
    <row r="36" spans="1:20">
      <c r="A36" s="1"/>
      <c r="B36" s="1"/>
      <c r="C36" s="1"/>
      <c r="D36" s="1" t="s">
        <v>125</v>
      </c>
      <c r="E36" s="1"/>
      <c r="F36" s="1"/>
      <c r="G36" s="1"/>
      <c r="H36" s="22"/>
      <c r="I36" s="9"/>
      <c r="J36" s="22"/>
      <c r="K36" s="9"/>
      <c r="L36" s="22"/>
      <c r="M36" s="9"/>
      <c r="N36" s="23"/>
      <c r="O36" s="9"/>
      <c r="P36" s="22"/>
    </row>
    <row r="37" spans="1:20">
      <c r="A37" s="1"/>
      <c r="B37" s="1"/>
      <c r="C37" s="1"/>
      <c r="D37" s="1"/>
      <c r="E37" s="1" t="s">
        <v>126</v>
      </c>
      <c r="F37" s="1"/>
      <c r="G37" s="1"/>
      <c r="H37" s="22"/>
      <c r="I37" s="9"/>
      <c r="J37" s="22"/>
      <c r="K37" s="9"/>
      <c r="L37" s="22"/>
      <c r="M37" s="9"/>
      <c r="N37" s="23"/>
      <c r="O37" s="9"/>
      <c r="P37" s="22"/>
    </row>
    <row r="38" spans="1:20">
      <c r="A38" s="1"/>
      <c r="B38" s="1"/>
      <c r="C38" s="1"/>
      <c r="D38" s="1"/>
      <c r="E38" s="1"/>
      <c r="F38" s="1" t="s">
        <v>127</v>
      </c>
      <c r="G38" s="1"/>
      <c r="H38" s="22">
        <v>16689.34</v>
      </c>
      <c r="I38" s="9"/>
      <c r="J38" s="22">
        <v>333701.09000000003</v>
      </c>
      <c r="K38" s="9"/>
      <c r="L38" s="22">
        <v>431424</v>
      </c>
      <c r="M38" s="9"/>
      <c r="N38" s="23">
        <f t="shared" ref="N38:N44" si="6">ROUND(IF(L38=0, IF(J38=0, 0, 1), J38/L38),5)</f>
        <v>0.77349000000000001</v>
      </c>
      <c r="O38" s="9"/>
      <c r="P38" s="22">
        <v>431424</v>
      </c>
      <c r="R38" s="24">
        <v>387300</v>
      </c>
      <c r="T38" s="23">
        <f t="shared" ref="T38:T44" si="7">SUM(J38/R38)</f>
        <v>0.86160880454428102</v>
      </c>
    </row>
    <row r="39" spans="1:20">
      <c r="A39" s="1"/>
      <c r="B39" s="1"/>
      <c r="C39" s="1"/>
      <c r="D39" s="1"/>
      <c r="E39" s="1"/>
      <c r="F39" s="1" t="s">
        <v>128</v>
      </c>
      <c r="G39" s="1"/>
      <c r="H39" s="22">
        <v>1795.78</v>
      </c>
      <c r="I39" s="9"/>
      <c r="J39" s="22">
        <v>40440.550000000003</v>
      </c>
      <c r="K39" s="9"/>
      <c r="L39" s="22">
        <v>51122</v>
      </c>
      <c r="M39" s="9"/>
      <c r="N39" s="23">
        <f t="shared" si="6"/>
        <v>0.79105999999999999</v>
      </c>
      <c r="O39" s="9"/>
      <c r="P39" s="22">
        <v>51122</v>
      </c>
      <c r="R39" s="24">
        <v>51122</v>
      </c>
      <c r="T39" s="23">
        <f t="shared" si="7"/>
        <v>0.79105962208051339</v>
      </c>
    </row>
    <row r="40" spans="1:20">
      <c r="A40" s="1"/>
      <c r="B40" s="1"/>
      <c r="C40" s="1"/>
      <c r="D40" s="1"/>
      <c r="E40" s="1"/>
      <c r="F40" s="1" t="s">
        <v>129</v>
      </c>
      <c r="G40" s="1"/>
      <c r="H40" s="22">
        <v>972.36</v>
      </c>
      <c r="I40" s="9"/>
      <c r="J40" s="22">
        <v>8615.44</v>
      </c>
      <c r="K40" s="9"/>
      <c r="L40" s="22">
        <v>12649</v>
      </c>
      <c r="M40" s="9"/>
      <c r="N40" s="23">
        <f t="shared" si="6"/>
        <v>0.68111999999999995</v>
      </c>
      <c r="O40" s="9"/>
      <c r="P40" s="22">
        <v>12649</v>
      </c>
      <c r="R40" s="24">
        <v>12650</v>
      </c>
      <c r="T40" s="23">
        <f t="shared" si="7"/>
        <v>0.68106245059288539</v>
      </c>
    </row>
    <row r="41" spans="1:20">
      <c r="A41" s="1"/>
      <c r="B41" s="1"/>
      <c r="C41" s="1"/>
      <c r="D41" s="1"/>
      <c r="E41" s="1"/>
      <c r="F41" s="1" t="s">
        <v>130</v>
      </c>
      <c r="G41" s="1"/>
      <c r="H41" s="22">
        <v>37.74</v>
      </c>
      <c r="I41" s="9"/>
      <c r="J41" s="22">
        <v>5770.55</v>
      </c>
      <c r="K41" s="9"/>
      <c r="L41" s="22">
        <v>0</v>
      </c>
      <c r="M41" s="9"/>
      <c r="N41" s="23">
        <f t="shared" si="6"/>
        <v>1</v>
      </c>
      <c r="O41" s="9"/>
      <c r="P41" s="22">
        <v>0</v>
      </c>
      <c r="R41" s="24">
        <v>5733</v>
      </c>
      <c r="T41" s="23">
        <f t="shared" si="7"/>
        <v>1.0065497994069423</v>
      </c>
    </row>
    <row r="42" spans="1:20">
      <c r="A42" s="1"/>
      <c r="B42" s="1"/>
      <c r="C42" s="1"/>
      <c r="D42" s="1"/>
      <c r="E42" s="1"/>
      <c r="F42" s="1" t="s">
        <v>131</v>
      </c>
      <c r="G42" s="1"/>
      <c r="H42" s="22">
        <v>0</v>
      </c>
      <c r="I42" s="9"/>
      <c r="J42" s="22">
        <v>0</v>
      </c>
      <c r="K42" s="9"/>
      <c r="L42" s="22">
        <v>0</v>
      </c>
      <c r="M42" s="9"/>
      <c r="N42" s="23">
        <f t="shared" si="6"/>
        <v>0</v>
      </c>
      <c r="O42" s="9"/>
      <c r="P42" s="22">
        <v>0</v>
      </c>
      <c r="R42" s="24">
        <v>0</v>
      </c>
      <c r="T42" s="23">
        <v>0</v>
      </c>
    </row>
    <row r="43" spans="1:20" ht="15" thickBot="1">
      <c r="A43" s="1"/>
      <c r="B43" s="1"/>
      <c r="C43" s="1"/>
      <c r="D43" s="1"/>
      <c r="E43" s="1"/>
      <c r="F43" s="1" t="s">
        <v>132</v>
      </c>
      <c r="G43" s="1"/>
      <c r="H43" s="25">
        <v>19.190000000000001</v>
      </c>
      <c r="I43" s="9"/>
      <c r="J43" s="25">
        <v>228.29</v>
      </c>
      <c r="K43" s="9"/>
      <c r="L43" s="25">
        <v>0</v>
      </c>
      <c r="M43" s="9"/>
      <c r="N43" s="26">
        <f t="shared" si="6"/>
        <v>1</v>
      </c>
      <c r="O43" s="9"/>
      <c r="P43" s="25">
        <v>0</v>
      </c>
      <c r="R43" s="27">
        <v>8463</v>
      </c>
      <c r="T43" s="26">
        <f t="shared" si="7"/>
        <v>2.6975067942809877E-2</v>
      </c>
    </row>
    <row r="44" spans="1:20">
      <c r="A44" s="1"/>
      <c r="B44" s="1"/>
      <c r="C44" s="1"/>
      <c r="D44" s="1"/>
      <c r="E44" s="1" t="s">
        <v>133</v>
      </c>
      <c r="F44" s="1"/>
      <c r="G44" s="1"/>
      <c r="H44" s="22">
        <f>ROUND(SUM(H37:H43),5)</f>
        <v>19514.41</v>
      </c>
      <c r="I44" s="9"/>
      <c r="J44" s="22">
        <f>ROUND(SUM(J37:J43),5)</f>
        <v>388755.92</v>
      </c>
      <c r="K44" s="9"/>
      <c r="L44" s="22">
        <f>ROUND(SUM(L37:L43),5)</f>
        <v>495195</v>
      </c>
      <c r="M44" s="9"/>
      <c r="N44" s="23">
        <f t="shared" si="6"/>
        <v>0.78505999999999998</v>
      </c>
      <c r="O44" s="9"/>
      <c r="P44" s="22">
        <f>ROUND(SUM(P37:P43),5)</f>
        <v>495195</v>
      </c>
      <c r="R44" s="24">
        <f>SUM(R38:R43)</f>
        <v>465268</v>
      </c>
      <c r="T44" s="23">
        <f t="shared" si="7"/>
        <v>0.83555267071881145</v>
      </c>
    </row>
    <row r="45" spans="1:20">
      <c r="A45" s="1"/>
      <c r="B45" s="1"/>
      <c r="C45" s="1"/>
      <c r="D45" s="1"/>
      <c r="E45" s="1" t="s">
        <v>134</v>
      </c>
      <c r="F45" s="1"/>
      <c r="G45" s="1"/>
      <c r="H45" s="22"/>
      <c r="I45" s="9"/>
      <c r="J45" s="22"/>
      <c r="K45" s="9"/>
      <c r="L45" s="22"/>
      <c r="M45" s="9"/>
      <c r="N45" s="23"/>
      <c r="O45" s="9"/>
      <c r="P45" s="22"/>
    </row>
    <row r="46" spans="1:20">
      <c r="A46" s="1"/>
      <c r="B46" s="1"/>
      <c r="C46" s="1"/>
      <c r="D46" s="1"/>
      <c r="E46" s="1"/>
      <c r="F46" s="1" t="s">
        <v>135</v>
      </c>
      <c r="G46" s="1"/>
      <c r="H46" s="22">
        <v>1490.91</v>
      </c>
      <c r="I46" s="9"/>
      <c r="J46" s="22">
        <v>12841.65</v>
      </c>
      <c r="K46" s="9"/>
      <c r="L46" s="22">
        <v>15600</v>
      </c>
      <c r="M46" s="9"/>
      <c r="N46" s="23">
        <f t="shared" ref="N46:N51" si="8">ROUND(IF(L46=0, IF(J46=0, 0, 1), J46/L46),5)</f>
        <v>0.82318000000000002</v>
      </c>
      <c r="O46" s="9"/>
      <c r="P46" s="22">
        <v>15600</v>
      </c>
      <c r="R46" s="24">
        <v>14400</v>
      </c>
      <c r="T46" s="23">
        <f t="shared" ref="T46:T49" si="9">SUM(J46/R46)</f>
        <v>0.89178124999999997</v>
      </c>
    </row>
    <row r="47" spans="1:20">
      <c r="A47" s="1"/>
      <c r="B47" s="1"/>
      <c r="C47" s="1"/>
      <c r="D47" s="1"/>
      <c r="E47" s="1"/>
      <c r="F47" s="1" t="s">
        <v>136</v>
      </c>
      <c r="G47" s="1"/>
      <c r="H47" s="22">
        <v>4306.37</v>
      </c>
      <c r="I47" s="9"/>
      <c r="J47" s="22">
        <v>21987.4</v>
      </c>
      <c r="K47" s="9"/>
      <c r="L47" s="22">
        <v>22000</v>
      </c>
      <c r="M47" s="9"/>
      <c r="N47" s="23">
        <f t="shared" si="8"/>
        <v>0.99943000000000004</v>
      </c>
      <c r="O47" s="9"/>
      <c r="P47" s="22">
        <v>22000</v>
      </c>
      <c r="R47" s="24">
        <v>22000</v>
      </c>
      <c r="T47" s="23">
        <f t="shared" si="9"/>
        <v>0.99942727272727283</v>
      </c>
    </row>
    <row r="48" spans="1:20">
      <c r="A48" s="1"/>
      <c r="B48" s="1"/>
      <c r="C48" s="1"/>
      <c r="D48" s="1"/>
      <c r="E48" s="1"/>
      <c r="F48" s="1" t="s">
        <v>137</v>
      </c>
      <c r="G48" s="1"/>
      <c r="H48" s="22">
        <v>1710.53</v>
      </c>
      <c r="I48" s="9"/>
      <c r="J48" s="22">
        <v>7161.62</v>
      </c>
      <c r="K48" s="9"/>
      <c r="L48" s="22">
        <v>28650</v>
      </c>
      <c r="M48" s="9"/>
      <c r="N48" s="23">
        <f t="shared" si="8"/>
        <v>0.24997</v>
      </c>
      <c r="O48" s="9"/>
      <c r="P48" s="22">
        <v>28650</v>
      </c>
      <c r="R48" s="24">
        <v>27500</v>
      </c>
      <c r="T48" s="23">
        <f t="shared" si="9"/>
        <v>0.26042254545454546</v>
      </c>
    </row>
    <row r="49" spans="1:20">
      <c r="A49" s="1"/>
      <c r="B49" s="1"/>
      <c r="C49" s="1"/>
      <c r="D49" s="1"/>
      <c r="E49" s="1"/>
      <c r="F49" s="1" t="s">
        <v>138</v>
      </c>
      <c r="G49" s="1"/>
      <c r="H49" s="22">
        <v>800</v>
      </c>
      <c r="I49" s="9"/>
      <c r="J49" s="22">
        <v>12350</v>
      </c>
      <c r="K49" s="9"/>
      <c r="L49" s="22">
        <v>12800</v>
      </c>
      <c r="M49" s="9"/>
      <c r="N49" s="23">
        <f t="shared" si="8"/>
        <v>0.96484000000000003</v>
      </c>
      <c r="O49" s="9"/>
      <c r="P49" s="22">
        <v>12800</v>
      </c>
      <c r="R49" s="24">
        <v>12600</v>
      </c>
      <c r="T49" s="23">
        <f t="shared" si="9"/>
        <v>0.98015873015873012</v>
      </c>
    </row>
    <row r="50" spans="1:20" ht="15" thickBot="1">
      <c r="A50" s="1"/>
      <c r="B50" s="1"/>
      <c r="C50" s="1"/>
      <c r="D50" s="1"/>
      <c r="E50" s="1"/>
      <c r="F50" s="1" t="s">
        <v>139</v>
      </c>
      <c r="G50" s="1"/>
      <c r="H50" s="25">
        <v>0</v>
      </c>
      <c r="I50" s="9"/>
      <c r="J50" s="25">
        <v>0</v>
      </c>
      <c r="K50" s="9"/>
      <c r="L50" s="25">
        <v>0</v>
      </c>
      <c r="M50" s="9"/>
      <c r="N50" s="26">
        <f t="shared" si="8"/>
        <v>0</v>
      </c>
      <c r="O50" s="9"/>
      <c r="P50" s="25">
        <v>0</v>
      </c>
      <c r="R50" s="27">
        <v>0</v>
      </c>
      <c r="T50" s="26"/>
    </row>
    <row r="51" spans="1:20">
      <c r="A51" s="1"/>
      <c r="B51" s="1"/>
      <c r="C51" s="1"/>
      <c r="D51" s="1"/>
      <c r="E51" s="1" t="s">
        <v>140</v>
      </c>
      <c r="F51" s="1"/>
      <c r="G51" s="1"/>
      <c r="H51" s="22">
        <f>ROUND(SUM(H45:H50),5)</f>
        <v>8307.81</v>
      </c>
      <c r="I51" s="9"/>
      <c r="J51" s="22">
        <f>ROUND(SUM(J45:J50),5)</f>
        <v>54340.67</v>
      </c>
      <c r="K51" s="9"/>
      <c r="L51" s="22">
        <f>ROUND(SUM(L45:L50),5)</f>
        <v>79050</v>
      </c>
      <c r="M51" s="9"/>
      <c r="N51" s="23">
        <f t="shared" si="8"/>
        <v>0.68742000000000003</v>
      </c>
      <c r="O51" s="9"/>
      <c r="P51" s="22">
        <f>ROUND(SUM(P45:P50),5)</f>
        <v>79050</v>
      </c>
      <c r="R51" s="32">
        <f>SUM(R46:R50)</f>
        <v>76500</v>
      </c>
      <c r="T51" s="23">
        <f t="shared" ref="T51" si="10">SUM(J51/R51)</f>
        <v>0.7103355555555555</v>
      </c>
    </row>
    <row r="52" spans="1:20">
      <c r="A52" s="1"/>
      <c r="B52" s="1"/>
      <c r="C52" s="1"/>
      <c r="D52" s="1"/>
      <c r="E52" s="1" t="s">
        <v>141</v>
      </c>
      <c r="F52" s="1"/>
      <c r="G52" s="1"/>
      <c r="H52" s="22"/>
      <c r="I52" s="9"/>
      <c r="J52" s="22"/>
      <c r="K52" s="9"/>
      <c r="L52" s="22"/>
      <c r="M52" s="9"/>
      <c r="N52" s="23"/>
      <c r="O52" s="9"/>
      <c r="P52" s="22"/>
    </row>
    <row r="53" spans="1:20">
      <c r="A53" s="1"/>
      <c r="B53" s="1"/>
      <c r="C53" s="1"/>
      <c r="D53" s="1"/>
      <c r="E53" s="1"/>
      <c r="F53" s="1" t="s">
        <v>142</v>
      </c>
      <c r="G53" s="1"/>
      <c r="H53" s="22">
        <v>904.45</v>
      </c>
      <c r="I53" s="9"/>
      <c r="J53" s="22">
        <v>13185.4</v>
      </c>
      <c r="K53" s="9"/>
      <c r="L53" s="22">
        <v>14330</v>
      </c>
      <c r="M53" s="9"/>
      <c r="N53" s="23">
        <f>ROUND(IF(L53=0, IF(J53=0, 0, 1), J53/L53),5)</f>
        <v>0.92013</v>
      </c>
      <c r="O53" s="9"/>
      <c r="P53" s="22">
        <v>14330</v>
      </c>
      <c r="R53" s="24">
        <v>14330</v>
      </c>
      <c r="T53" s="23">
        <f t="shared" ref="T53:T57" si="11">SUM(J53/R53)</f>
        <v>0.92012561060711795</v>
      </c>
    </row>
    <row r="54" spans="1:20">
      <c r="A54" s="1"/>
      <c r="B54" s="1"/>
      <c r="C54" s="1"/>
      <c r="D54" s="1"/>
      <c r="E54" s="1"/>
      <c r="F54" s="1" t="s">
        <v>143</v>
      </c>
      <c r="G54" s="1"/>
      <c r="H54" s="22"/>
      <c r="I54" s="9"/>
      <c r="J54" s="22"/>
      <c r="K54" s="9"/>
      <c r="L54" s="22"/>
      <c r="M54" s="9"/>
      <c r="N54" s="23"/>
      <c r="O54" s="9"/>
      <c r="P54" s="22"/>
      <c r="R54" s="24"/>
      <c r="T54" s="23"/>
    </row>
    <row r="55" spans="1:20">
      <c r="A55" s="1"/>
      <c r="B55" s="1"/>
      <c r="C55" s="1"/>
      <c r="D55" s="1"/>
      <c r="E55" s="1"/>
      <c r="F55" s="1"/>
      <c r="G55" s="1" t="s">
        <v>144</v>
      </c>
      <c r="H55" s="22">
        <v>0</v>
      </c>
      <c r="I55" s="9"/>
      <c r="J55" s="22">
        <v>440</v>
      </c>
      <c r="K55" s="9"/>
      <c r="L55" s="22">
        <v>0</v>
      </c>
      <c r="M55" s="9"/>
      <c r="N55" s="23">
        <f>ROUND(IF(L55=0, IF(J55=0, 0, 1), J55/L55),5)</f>
        <v>1</v>
      </c>
      <c r="O55" s="9"/>
      <c r="P55" s="22">
        <v>0</v>
      </c>
      <c r="R55" s="24">
        <v>0</v>
      </c>
      <c r="T55" s="23">
        <v>0</v>
      </c>
    </row>
    <row r="56" spans="1:20" ht="15" thickBot="1">
      <c r="A56" s="1"/>
      <c r="B56" s="1"/>
      <c r="C56" s="1"/>
      <c r="D56" s="1"/>
      <c r="E56" s="1"/>
      <c r="F56" s="1"/>
      <c r="G56" s="1" t="s">
        <v>145</v>
      </c>
      <c r="H56" s="25">
        <v>11929.6</v>
      </c>
      <c r="I56" s="9"/>
      <c r="J56" s="25">
        <v>36432.639999999999</v>
      </c>
      <c r="K56" s="9"/>
      <c r="L56" s="25">
        <v>35960</v>
      </c>
      <c r="M56" s="9"/>
      <c r="N56" s="26">
        <f>ROUND(IF(L56=0, IF(J56=0, 0, 1), J56/L56),5)</f>
        <v>1.0131399999999999</v>
      </c>
      <c r="O56" s="9"/>
      <c r="P56" s="25">
        <v>35960</v>
      </c>
      <c r="R56" s="27">
        <v>36000</v>
      </c>
      <c r="T56" s="26">
        <f t="shared" si="11"/>
        <v>1.0120177777777777</v>
      </c>
    </row>
    <row r="57" spans="1:20">
      <c r="A57" s="1"/>
      <c r="B57" s="1"/>
      <c r="C57" s="1"/>
      <c r="D57" s="1"/>
      <c r="E57" s="1"/>
      <c r="F57" s="1" t="s">
        <v>146</v>
      </c>
      <c r="G57" s="1"/>
      <c r="H57" s="22">
        <f>ROUND(SUM(H54:H56),5)</f>
        <v>11929.6</v>
      </c>
      <c r="I57" s="9"/>
      <c r="J57" s="22">
        <f>ROUND(SUM(J54:J56),5)</f>
        <v>36872.639999999999</v>
      </c>
      <c r="K57" s="9"/>
      <c r="L57" s="22">
        <f>ROUND(SUM(L54:L56),5)</f>
        <v>35960</v>
      </c>
      <c r="M57" s="9"/>
      <c r="N57" s="23">
        <f>ROUND(IF(L57=0, IF(J57=0, 0, 1), J57/L57),5)</f>
        <v>1.02538</v>
      </c>
      <c r="O57" s="9"/>
      <c r="P57" s="22">
        <f>ROUND(SUM(P54:P56),5)</f>
        <v>35960</v>
      </c>
      <c r="R57" s="24">
        <f>SUM(R55:R56)</f>
        <v>36000</v>
      </c>
      <c r="T57" s="23">
        <f t="shared" si="11"/>
        <v>1.02424</v>
      </c>
    </row>
    <row r="58" spans="1:20">
      <c r="A58" s="1"/>
      <c r="B58" s="1"/>
      <c r="C58" s="1"/>
      <c r="D58" s="1"/>
      <c r="E58" s="1"/>
      <c r="F58" s="1" t="s">
        <v>147</v>
      </c>
      <c r="G58" s="1"/>
      <c r="H58" s="22"/>
      <c r="I58" s="9"/>
      <c r="J58" s="22"/>
      <c r="K58" s="9"/>
      <c r="L58" s="22"/>
      <c r="M58" s="9"/>
      <c r="N58" s="23"/>
      <c r="O58" s="9"/>
      <c r="P58" s="22"/>
    </row>
    <row r="59" spans="1:20">
      <c r="A59" s="1"/>
      <c r="B59" s="1"/>
      <c r="C59" s="1"/>
      <c r="D59" s="1"/>
      <c r="E59" s="1"/>
      <c r="F59" s="1"/>
      <c r="G59" s="1" t="s">
        <v>148</v>
      </c>
      <c r="H59" s="22">
        <v>248</v>
      </c>
      <c r="I59" s="9"/>
      <c r="J59" s="22">
        <v>6969</v>
      </c>
      <c r="K59" s="9"/>
      <c r="L59" s="22">
        <v>10000</v>
      </c>
      <c r="M59" s="9"/>
      <c r="N59" s="23">
        <f t="shared" ref="N59:N74" si="12">ROUND(IF(L59=0, IF(J59=0, 0, 1), J59/L59),5)</f>
        <v>0.69689999999999996</v>
      </c>
      <c r="O59" s="9"/>
      <c r="P59" s="22">
        <v>10000</v>
      </c>
      <c r="R59" s="24">
        <v>10000</v>
      </c>
      <c r="T59" s="23">
        <f t="shared" ref="T59:T85" si="13">SUM(J59/R59)</f>
        <v>0.69689999999999996</v>
      </c>
    </row>
    <row r="60" spans="1:20">
      <c r="A60" s="1"/>
      <c r="B60" s="1"/>
      <c r="C60" s="1"/>
      <c r="D60" s="1"/>
      <c r="E60" s="1"/>
      <c r="F60" s="1"/>
      <c r="G60" s="1" t="s">
        <v>149</v>
      </c>
      <c r="H60" s="22">
        <v>0</v>
      </c>
      <c r="I60" s="9"/>
      <c r="J60" s="22">
        <v>13730</v>
      </c>
      <c r="K60" s="9"/>
      <c r="L60" s="22">
        <v>12855</v>
      </c>
      <c r="M60" s="9"/>
      <c r="N60" s="23">
        <f t="shared" si="12"/>
        <v>1.0680700000000001</v>
      </c>
      <c r="O60" s="9"/>
      <c r="P60" s="22">
        <v>12855</v>
      </c>
      <c r="R60" s="24">
        <v>13730</v>
      </c>
      <c r="T60" s="23">
        <f t="shared" si="13"/>
        <v>1</v>
      </c>
    </row>
    <row r="61" spans="1:20">
      <c r="A61" s="1"/>
      <c r="B61" s="1"/>
      <c r="C61" s="1"/>
      <c r="D61" s="1"/>
      <c r="E61" s="1"/>
      <c r="F61" s="1"/>
      <c r="G61" s="1" t="s">
        <v>150</v>
      </c>
      <c r="H61" s="22">
        <v>0</v>
      </c>
      <c r="I61" s="9"/>
      <c r="J61" s="22">
        <v>4450</v>
      </c>
      <c r="K61" s="9"/>
      <c r="L61" s="22">
        <v>5000</v>
      </c>
      <c r="M61" s="9"/>
      <c r="N61" s="23">
        <f t="shared" si="12"/>
        <v>0.89</v>
      </c>
      <c r="O61" s="9"/>
      <c r="P61" s="22">
        <v>5000</v>
      </c>
      <c r="R61" s="24">
        <v>5000</v>
      </c>
      <c r="T61" s="23">
        <f t="shared" si="13"/>
        <v>0.89</v>
      </c>
    </row>
    <row r="62" spans="1:20">
      <c r="A62" s="1"/>
      <c r="B62" s="1"/>
      <c r="C62" s="1"/>
      <c r="D62" s="1"/>
      <c r="E62" s="1"/>
      <c r="F62" s="1"/>
      <c r="G62" s="1" t="s">
        <v>151</v>
      </c>
      <c r="H62" s="22">
        <v>0</v>
      </c>
      <c r="I62" s="9"/>
      <c r="J62" s="22">
        <v>5150</v>
      </c>
      <c r="K62" s="9"/>
      <c r="L62" s="22">
        <v>5350</v>
      </c>
      <c r="M62" s="9"/>
      <c r="N62" s="23">
        <f t="shared" si="12"/>
        <v>0.96262000000000003</v>
      </c>
      <c r="O62" s="9"/>
      <c r="P62" s="22">
        <v>5350</v>
      </c>
      <c r="R62" s="24">
        <v>5250</v>
      </c>
      <c r="T62" s="23">
        <f t="shared" si="13"/>
        <v>0.98095238095238091</v>
      </c>
    </row>
    <row r="63" spans="1:20">
      <c r="A63" s="1"/>
      <c r="B63" s="1"/>
      <c r="C63" s="1"/>
      <c r="D63" s="1"/>
      <c r="E63" s="1"/>
      <c r="F63" s="1"/>
      <c r="G63" s="1" t="s">
        <v>152</v>
      </c>
      <c r="H63" s="22">
        <v>0</v>
      </c>
      <c r="I63" s="9"/>
      <c r="J63" s="22">
        <v>1619</v>
      </c>
      <c r="K63" s="9"/>
      <c r="L63" s="22">
        <v>1800</v>
      </c>
      <c r="M63" s="9"/>
      <c r="N63" s="23">
        <f t="shared" si="12"/>
        <v>0.89944000000000002</v>
      </c>
      <c r="O63" s="9"/>
      <c r="P63" s="22">
        <v>1800</v>
      </c>
      <c r="R63" s="24">
        <v>1800</v>
      </c>
      <c r="T63" s="23">
        <f t="shared" si="13"/>
        <v>0.89944444444444449</v>
      </c>
    </row>
    <row r="64" spans="1:20">
      <c r="A64" s="1"/>
      <c r="B64" s="1"/>
      <c r="C64" s="1"/>
      <c r="D64" s="1"/>
      <c r="E64" s="1"/>
      <c r="F64" s="1"/>
      <c r="G64" s="1" t="s">
        <v>153</v>
      </c>
      <c r="H64" s="22">
        <v>0</v>
      </c>
      <c r="I64" s="9"/>
      <c r="J64" s="22">
        <v>6400</v>
      </c>
      <c r="K64" s="9"/>
      <c r="L64" s="22">
        <v>5350</v>
      </c>
      <c r="M64" s="9"/>
      <c r="N64" s="23">
        <f t="shared" si="12"/>
        <v>1.1962600000000001</v>
      </c>
      <c r="O64" s="9"/>
      <c r="P64" s="22">
        <v>5350</v>
      </c>
      <c r="R64" s="24">
        <v>5350</v>
      </c>
      <c r="T64" s="23">
        <f t="shared" si="13"/>
        <v>1.1962616822429906</v>
      </c>
    </row>
    <row r="65" spans="1:20">
      <c r="A65" s="1"/>
      <c r="B65" s="1"/>
      <c r="C65" s="1"/>
      <c r="D65" s="1"/>
      <c r="E65" s="1"/>
      <c r="F65" s="1"/>
      <c r="G65" s="1" t="s">
        <v>154</v>
      </c>
      <c r="H65" s="22">
        <v>0</v>
      </c>
      <c r="I65" s="9"/>
      <c r="J65" s="22">
        <v>3500</v>
      </c>
      <c r="K65" s="9"/>
      <c r="L65" s="22">
        <v>4200</v>
      </c>
      <c r="M65" s="9"/>
      <c r="N65" s="23">
        <f t="shared" si="12"/>
        <v>0.83333000000000002</v>
      </c>
      <c r="O65" s="9"/>
      <c r="P65" s="22">
        <v>4200</v>
      </c>
      <c r="R65" s="24">
        <v>4200</v>
      </c>
      <c r="T65" s="23">
        <f t="shared" si="13"/>
        <v>0.83333333333333337</v>
      </c>
    </row>
    <row r="66" spans="1:20">
      <c r="A66" s="1"/>
      <c r="B66" s="1"/>
      <c r="C66" s="1"/>
      <c r="D66" s="1"/>
      <c r="E66" s="1"/>
      <c r="F66" s="1"/>
      <c r="G66" s="1" t="s">
        <v>155</v>
      </c>
      <c r="H66" s="22">
        <v>0</v>
      </c>
      <c r="I66" s="9"/>
      <c r="J66" s="22">
        <v>5750</v>
      </c>
      <c r="K66" s="9"/>
      <c r="L66" s="22">
        <v>5850</v>
      </c>
      <c r="M66" s="9"/>
      <c r="N66" s="23">
        <f t="shared" si="12"/>
        <v>0.98290999999999995</v>
      </c>
      <c r="O66" s="9"/>
      <c r="P66" s="22">
        <v>5850</v>
      </c>
      <c r="R66" s="24">
        <v>5850</v>
      </c>
      <c r="T66" s="23">
        <f t="shared" si="13"/>
        <v>0.98290598290598286</v>
      </c>
    </row>
    <row r="67" spans="1:20">
      <c r="A67" s="1"/>
      <c r="B67" s="1"/>
      <c r="C67" s="1"/>
      <c r="D67" s="1"/>
      <c r="E67" s="1"/>
      <c r="F67" s="1"/>
      <c r="G67" s="1" t="s">
        <v>156</v>
      </c>
      <c r="H67" s="22">
        <v>150</v>
      </c>
      <c r="I67" s="9"/>
      <c r="J67" s="22">
        <v>8097</v>
      </c>
      <c r="K67" s="9"/>
      <c r="L67" s="22">
        <v>5580</v>
      </c>
      <c r="M67" s="9"/>
      <c r="N67" s="23">
        <f t="shared" si="12"/>
        <v>1.4510799999999999</v>
      </c>
      <c r="O67" s="9"/>
      <c r="P67" s="22">
        <v>5580</v>
      </c>
      <c r="R67" s="24">
        <v>7550</v>
      </c>
      <c r="T67" s="23">
        <f t="shared" si="13"/>
        <v>1.0724503311258278</v>
      </c>
    </row>
    <row r="68" spans="1:20">
      <c r="A68" s="1"/>
      <c r="B68" s="1"/>
      <c r="C68" s="1"/>
      <c r="D68" s="1"/>
      <c r="E68" s="1"/>
      <c r="F68" s="1"/>
      <c r="G68" s="1" t="s">
        <v>157</v>
      </c>
      <c r="H68" s="22">
        <v>190</v>
      </c>
      <c r="I68" s="9"/>
      <c r="J68" s="22">
        <v>21445</v>
      </c>
      <c r="K68" s="9"/>
      <c r="L68" s="22">
        <v>22900</v>
      </c>
      <c r="M68" s="9"/>
      <c r="N68" s="23">
        <f t="shared" si="12"/>
        <v>0.93645999999999996</v>
      </c>
      <c r="O68" s="9"/>
      <c r="P68" s="22">
        <v>22900</v>
      </c>
      <c r="R68" s="24">
        <v>23100</v>
      </c>
      <c r="T68" s="23">
        <f t="shared" si="13"/>
        <v>0.92835497835497838</v>
      </c>
    </row>
    <row r="69" spans="1:20">
      <c r="A69" s="1"/>
      <c r="B69" s="1"/>
      <c r="C69" s="1"/>
      <c r="D69" s="1"/>
      <c r="E69" s="1"/>
      <c r="F69" s="1"/>
      <c r="G69" s="1" t="s">
        <v>158</v>
      </c>
      <c r="H69" s="22">
        <v>0</v>
      </c>
      <c r="I69" s="9"/>
      <c r="J69" s="22">
        <v>3500</v>
      </c>
      <c r="K69" s="9"/>
      <c r="L69" s="22">
        <v>2550</v>
      </c>
      <c r="M69" s="9"/>
      <c r="N69" s="23">
        <f t="shared" si="12"/>
        <v>1.3725499999999999</v>
      </c>
      <c r="O69" s="9"/>
      <c r="P69" s="22">
        <v>2550</v>
      </c>
      <c r="R69" s="24">
        <v>3400</v>
      </c>
      <c r="T69" s="23">
        <f t="shared" si="13"/>
        <v>1.0294117647058822</v>
      </c>
    </row>
    <row r="70" spans="1:20" ht="15" thickBot="1">
      <c r="A70" s="1"/>
      <c r="B70" s="1"/>
      <c r="C70" s="1"/>
      <c r="D70" s="1"/>
      <c r="E70" s="1"/>
      <c r="F70" s="1"/>
      <c r="G70" s="1" t="s">
        <v>159</v>
      </c>
      <c r="H70" s="25">
        <v>0</v>
      </c>
      <c r="I70" s="9"/>
      <c r="J70" s="25">
        <v>2450</v>
      </c>
      <c r="K70" s="9"/>
      <c r="L70" s="25">
        <v>18450</v>
      </c>
      <c r="M70" s="9"/>
      <c r="N70" s="26">
        <f t="shared" si="12"/>
        <v>0.13278999999999999</v>
      </c>
      <c r="O70" s="9"/>
      <c r="P70" s="25">
        <v>18450</v>
      </c>
      <c r="R70" s="27">
        <v>10450</v>
      </c>
      <c r="T70" s="26">
        <f t="shared" si="13"/>
        <v>0.23444976076555024</v>
      </c>
    </row>
    <row r="71" spans="1:20">
      <c r="A71" s="1"/>
      <c r="B71" s="1"/>
      <c r="C71" s="1"/>
      <c r="D71" s="1"/>
      <c r="E71" s="1"/>
      <c r="F71" s="1" t="s">
        <v>160</v>
      </c>
      <c r="G71" s="1"/>
      <c r="H71" s="22">
        <f>ROUND(SUM(H58:H70),5)</f>
        <v>588</v>
      </c>
      <c r="I71" s="9"/>
      <c r="J71" s="22">
        <f>ROUND(SUM(J58:J70),5)</f>
        <v>83060</v>
      </c>
      <c r="K71" s="9"/>
      <c r="L71" s="22">
        <f>ROUND(SUM(L58:L70),5)</f>
        <v>99885</v>
      </c>
      <c r="M71" s="9"/>
      <c r="N71" s="23">
        <f t="shared" si="12"/>
        <v>0.83155999999999997</v>
      </c>
      <c r="O71" s="9"/>
      <c r="P71" s="22">
        <f>ROUND(SUM(P58:P70),5)</f>
        <v>99885</v>
      </c>
      <c r="R71" s="33">
        <f>SUM(R59:R70)</f>
        <v>95680</v>
      </c>
      <c r="T71" s="23">
        <f t="shared" si="13"/>
        <v>0.8681020066889632</v>
      </c>
    </row>
    <row r="72" spans="1:20">
      <c r="A72" s="1"/>
      <c r="B72" s="1"/>
      <c r="C72" s="1"/>
      <c r="D72" s="1"/>
      <c r="E72" s="1"/>
      <c r="F72" s="1" t="s">
        <v>161</v>
      </c>
      <c r="G72" s="1"/>
      <c r="H72" s="22">
        <v>1970.18</v>
      </c>
      <c r="I72" s="9"/>
      <c r="J72" s="22">
        <v>39348.79</v>
      </c>
      <c r="K72" s="9"/>
      <c r="L72" s="22">
        <v>35450</v>
      </c>
      <c r="M72" s="9"/>
      <c r="N72" s="23">
        <f t="shared" si="12"/>
        <v>1.10998</v>
      </c>
      <c r="O72" s="9"/>
      <c r="P72" s="22">
        <v>35450</v>
      </c>
      <c r="R72" s="24">
        <v>35450</v>
      </c>
      <c r="T72" s="23">
        <f t="shared" si="13"/>
        <v>1.1099799717912553</v>
      </c>
    </row>
    <row r="73" spans="1:20">
      <c r="A73" s="1"/>
      <c r="B73" s="1"/>
      <c r="C73" s="1"/>
      <c r="D73" s="1"/>
      <c r="E73" s="1"/>
      <c r="F73" s="1" t="s">
        <v>162</v>
      </c>
      <c r="G73" s="1"/>
      <c r="H73" s="22">
        <v>-49.03</v>
      </c>
      <c r="I73" s="9"/>
      <c r="J73" s="22">
        <v>-111.73</v>
      </c>
      <c r="K73" s="9"/>
      <c r="L73" s="22">
        <v>3450</v>
      </c>
      <c r="M73" s="9"/>
      <c r="N73" s="23">
        <f t="shared" si="12"/>
        <v>-3.2390000000000002E-2</v>
      </c>
      <c r="O73" s="9"/>
      <c r="P73" s="22">
        <v>3450</v>
      </c>
      <c r="R73" s="24">
        <v>1200</v>
      </c>
      <c r="T73" s="23">
        <f t="shared" si="13"/>
        <v>-9.3108333333333335E-2</v>
      </c>
    </row>
    <row r="74" spans="1:20">
      <c r="A74" s="1"/>
      <c r="B74" s="1"/>
      <c r="C74" s="1"/>
      <c r="D74" s="1"/>
      <c r="E74" s="1"/>
      <c r="F74" s="1" t="s">
        <v>163</v>
      </c>
      <c r="G74" s="1"/>
      <c r="H74" s="22">
        <v>163.19999999999999</v>
      </c>
      <c r="I74" s="9"/>
      <c r="J74" s="22">
        <v>5763.9</v>
      </c>
      <c r="K74" s="9"/>
      <c r="L74" s="22">
        <v>5200</v>
      </c>
      <c r="M74" s="9"/>
      <c r="N74" s="23">
        <f t="shared" si="12"/>
        <v>1.1084400000000001</v>
      </c>
      <c r="O74" s="9"/>
      <c r="P74" s="22">
        <v>5200</v>
      </c>
      <c r="R74" s="24">
        <v>5200</v>
      </c>
      <c r="T74" s="23">
        <f t="shared" si="13"/>
        <v>1.1084423076923076</v>
      </c>
    </row>
    <row r="75" spans="1:20">
      <c r="A75" s="1"/>
      <c r="B75" s="1"/>
      <c r="C75" s="1"/>
      <c r="D75" s="1"/>
      <c r="E75" s="1"/>
      <c r="F75" s="1" t="s">
        <v>164</v>
      </c>
      <c r="G75" s="1"/>
      <c r="H75" s="22"/>
      <c r="I75" s="9"/>
      <c r="J75" s="22"/>
      <c r="K75" s="9"/>
      <c r="L75" s="22"/>
      <c r="M75" s="9"/>
      <c r="N75" s="23"/>
      <c r="O75" s="9"/>
      <c r="P75" s="22"/>
      <c r="R75" s="24"/>
      <c r="T75" s="23"/>
    </row>
    <row r="76" spans="1:20">
      <c r="A76" s="1"/>
      <c r="B76" s="1"/>
      <c r="C76" s="1"/>
      <c r="D76" s="1"/>
      <c r="E76" s="1"/>
      <c r="F76" s="1"/>
      <c r="G76" s="1" t="s">
        <v>165</v>
      </c>
      <c r="H76" s="22">
        <v>0</v>
      </c>
      <c r="I76" s="9"/>
      <c r="J76" s="22">
        <v>3873.47</v>
      </c>
      <c r="K76" s="9"/>
      <c r="L76" s="22"/>
      <c r="M76" s="9"/>
      <c r="N76" s="23"/>
      <c r="O76" s="9"/>
      <c r="P76" s="22"/>
      <c r="R76" s="24">
        <v>0</v>
      </c>
      <c r="T76" s="23"/>
    </row>
    <row r="77" spans="1:20" ht="15" thickBot="1">
      <c r="A77" s="1"/>
      <c r="B77" s="1"/>
      <c r="C77" s="1"/>
      <c r="D77" s="1"/>
      <c r="E77" s="1"/>
      <c r="F77" s="1"/>
      <c r="G77" s="1" t="s">
        <v>166</v>
      </c>
      <c r="H77" s="25">
        <v>71.53</v>
      </c>
      <c r="I77" s="9"/>
      <c r="J77" s="25">
        <v>12302.15</v>
      </c>
      <c r="K77" s="9"/>
      <c r="L77" s="25">
        <v>8300</v>
      </c>
      <c r="M77" s="9"/>
      <c r="N77" s="26">
        <f t="shared" ref="N77:N85" si="14">ROUND(IF(L77=0, IF(J77=0, 0, 1), J77/L77),5)</f>
        <v>1.4821899999999999</v>
      </c>
      <c r="O77" s="9"/>
      <c r="P77" s="25">
        <v>8300</v>
      </c>
      <c r="R77" s="27">
        <v>8300</v>
      </c>
      <c r="T77" s="26">
        <f t="shared" si="13"/>
        <v>1.4821867469879517</v>
      </c>
    </row>
    <row r="78" spans="1:20">
      <c r="A78" s="1"/>
      <c r="B78" s="1"/>
      <c r="C78" s="1"/>
      <c r="D78" s="1"/>
      <c r="E78" s="1"/>
      <c r="F78" s="1" t="s">
        <v>167</v>
      </c>
      <c r="G78" s="1"/>
      <c r="H78" s="22">
        <f>ROUND(SUM(H75:H77),5)</f>
        <v>71.53</v>
      </c>
      <c r="I78" s="9"/>
      <c r="J78" s="22">
        <f>ROUND(SUM(J75:J77),5)</f>
        <v>16175.62</v>
      </c>
      <c r="K78" s="9"/>
      <c r="L78" s="22">
        <f>ROUND(SUM(L75:L77),5)</f>
        <v>8300</v>
      </c>
      <c r="M78" s="9"/>
      <c r="N78" s="23">
        <f t="shared" si="14"/>
        <v>1.9488700000000001</v>
      </c>
      <c r="O78" s="9"/>
      <c r="P78" s="22">
        <f>ROUND(SUM(P75:P77),5)</f>
        <v>8300</v>
      </c>
      <c r="R78" s="24">
        <f>SUM(R76:R77)</f>
        <v>8300</v>
      </c>
      <c r="T78" s="23">
        <f t="shared" si="13"/>
        <v>1.9488698795180723</v>
      </c>
    </row>
    <row r="79" spans="1:20">
      <c r="A79" s="1"/>
      <c r="B79" s="1"/>
      <c r="C79" s="1"/>
      <c r="D79" s="1"/>
      <c r="E79" s="1"/>
      <c r="F79" s="1" t="s">
        <v>168</v>
      </c>
      <c r="G79" s="1"/>
      <c r="H79" s="22">
        <v>206.98</v>
      </c>
      <c r="I79" s="9"/>
      <c r="J79" s="22">
        <v>2036.78</v>
      </c>
      <c r="K79" s="9"/>
      <c r="L79" s="22">
        <v>1025</v>
      </c>
      <c r="M79" s="9"/>
      <c r="N79" s="23">
        <f t="shared" si="14"/>
        <v>1.9871000000000001</v>
      </c>
      <c r="O79" s="9"/>
      <c r="P79" s="22">
        <v>1025</v>
      </c>
      <c r="R79" s="24">
        <v>950</v>
      </c>
      <c r="T79" s="23">
        <f t="shared" si="13"/>
        <v>2.1439789473684212</v>
      </c>
    </row>
    <row r="80" spans="1:20">
      <c r="A80" s="1"/>
      <c r="B80" s="1"/>
      <c r="C80" s="1"/>
      <c r="D80" s="1"/>
      <c r="E80" s="1"/>
      <c r="F80" s="1" t="s">
        <v>169</v>
      </c>
      <c r="G80" s="1"/>
      <c r="H80" s="22">
        <v>0</v>
      </c>
      <c r="I80" s="9"/>
      <c r="J80" s="22">
        <v>992.5</v>
      </c>
      <c r="K80" s="9"/>
      <c r="L80" s="22">
        <v>925</v>
      </c>
      <c r="M80" s="9"/>
      <c r="N80" s="23">
        <f t="shared" si="14"/>
        <v>1.07297</v>
      </c>
      <c r="O80" s="9"/>
      <c r="P80" s="22">
        <v>925</v>
      </c>
      <c r="R80" s="24">
        <v>900</v>
      </c>
      <c r="T80" s="23">
        <f t="shared" si="13"/>
        <v>1.1027777777777779</v>
      </c>
    </row>
    <row r="81" spans="1:20">
      <c r="A81" s="1"/>
      <c r="B81" s="1"/>
      <c r="C81" s="1"/>
      <c r="D81" s="1"/>
      <c r="E81" s="1"/>
      <c r="F81" s="1" t="s">
        <v>170</v>
      </c>
      <c r="G81" s="1"/>
      <c r="H81" s="22">
        <v>0</v>
      </c>
      <c r="I81" s="9"/>
      <c r="J81" s="22">
        <v>97.22</v>
      </c>
      <c r="K81" s="9"/>
      <c r="L81" s="22">
        <v>0</v>
      </c>
      <c r="M81" s="9"/>
      <c r="N81" s="23">
        <f t="shared" si="14"/>
        <v>1</v>
      </c>
      <c r="O81" s="9"/>
      <c r="P81" s="22">
        <v>0</v>
      </c>
      <c r="R81" s="24">
        <v>98</v>
      </c>
      <c r="T81" s="23">
        <f t="shared" si="13"/>
        <v>0.99204081632653063</v>
      </c>
    </row>
    <row r="82" spans="1:20">
      <c r="A82" s="1"/>
      <c r="B82" s="1"/>
      <c r="C82" s="1"/>
      <c r="D82" s="1"/>
      <c r="E82" s="1"/>
      <c r="F82" s="1" t="s">
        <v>171</v>
      </c>
      <c r="G82" s="1"/>
      <c r="H82" s="22">
        <v>2690.59</v>
      </c>
      <c r="I82" s="9"/>
      <c r="J82" s="22">
        <v>8168.78</v>
      </c>
      <c r="K82" s="9"/>
      <c r="L82" s="22">
        <v>5300</v>
      </c>
      <c r="M82" s="9"/>
      <c r="N82" s="23">
        <f t="shared" si="14"/>
        <v>1.54128</v>
      </c>
      <c r="O82" s="9"/>
      <c r="P82" s="22">
        <v>5300</v>
      </c>
      <c r="R82" s="24">
        <v>4800</v>
      </c>
      <c r="T82" s="23">
        <f t="shared" si="13"/>
        <v>1.7018291666666665</v>
      </c>
    </row>
    <row r="83" spans="1:20">
      <c r="A83" s="1"/>
      <c r="B83" s="1"/>
      <c r="C83" s="1"/>
      <c r="D83" s="1"/>
      <c r="E83" s="1"/>
      <c r="F83" s="1" t="s">
        <v>172</v>
      </c>
      <c r="G83" s="1"/>
      <c r="H83" s="22">
        <v>0</v>
      </c>
      <c r="I83" s="9"/>
      <c r="J83" s="22">
        <v>1473.42</v>
      </c>
      <c r="K83" s="9"/>
      <c r="L83" s="22">
        <v>1600</v>
      </c>
      <c r="M83" s="9"/>
      <c r="N83" s="23">
        <f t="shared" si="14"/>
        <v>0.92088999999999999</v>
      </c>
      <c r="O83" s="9"/>
      <c r="P83" s="22">
        <v>1600</v>
      </c>
      <c r="R83" s="34">
        <v>1100</v>
      </c>
      <c r="T83" s="23">
        <f t="shared" si="13"/>
        <v>1.3394727272727274</v>
      </c>
    </row>
    <row r="84" spans="1:20">
      <c r="A84" s="1"/>
      <c r="B84" s="1"/>
      <c r="C84" s="1"/>
      <c r="D84" s="1"/>
      <c r="E84" s="1"/>
      <c r="F84" s="1" t="s">
        <v>173</v>
      </c>
      <c r="G84" s="1"/>
      <c r="H84" s="22">
        <v>0</v>
      </c>
      <c r="I84" s="9"/>
      <c r="J84" s="22">
        <v>1767.5</v>
      </c>
      <c r="K84" s="9"/>
      <c r="L84" s="22">
        <v>900</v>
      </c>
      <c r="M84" s="9"/>
      <c r="N84" s="23">
        <f t="shared" si="14"/>
        <v>1.9638899999999999</v>
      </c>
      <c r="O84" s="9"/>
      <c r="P84" s="22">
        <v>900</v>
      </c>
      <c r="R84" s="24">
        <v>1768</v>
      </c>
      <c r="T84" s="23">
        <f t="shared" si="13"/>
        <v>0.99971719457013575</v>
      </c>
    </row>
    <row r="85" spans="1:20">
      <c r="A85" s="1"/>
      <c r="B85" s="1"/>
      <c r="C85" s="1"/>
      <c r="D85" s="1"/>
      <c r="E85" s="1"/>
      <c r="F85" s="1" t="s">
        <v>174</v>
      </c>
      <c r="G85" s="1"/>
      <c r="H85" s="22">
        <v>0</v>
      </c>
      <c r="I85" s="9"/>
      <c r="J85" s="22">
        <v>2244.21</v>
      </c>
      <c r="K85" s="9"/>
      <c r="L85" s="22">
        <v>1800</v>
      </c>
      <c r="M85" s="9"/>
      <c r="N85" s="23">
        <f t="shared" si="14"/>
        <v>1.24678</v>
      </c>
      <c r="O85" s="9"/>
      <c r="P85" s="22">
        <v>1800</v>
      </c>
      <c r="R85" s="35">
        <v>1200</v>
      </c>
      <c r="S85" s="36"/>
      <c r="T85" s="29">
        <f t="shared" si="13"/>
        <v>1.8701749999999999</v>
      </c>
    </row>
    <row r="86" spans="1:20">
      <c r="A86" s="1"/>
      <c r="B86" s="1"/>
      <c r="C86" s="1"/>
      <c r="D86" s="1"/>
      <c r="E86" s="1"/>
      <c r="F86" s="1" t="s">
        <v>175</v>
      </c>
      <c r="G86" s="1"/>
      <c r="H86" s="22"/>
      <c r="I86" s="9"/>
      <c r="J86" s="22"/>
      <c r="K86" s="9"/>
      <c r="L86" s="22"/>
      <c r="M86" s="9"/>
      <c r="N86" s="23"/>
      <c r="O86" s="9"/>
      <c r="P86" s="22"/>
    </row>
    <row r="87" spans="1:20">
      <c r="A87" s="1"/>
      <c r="B87" s="1"/>
      <c r="C87" s="1"/>
      <c r="D87" s="1"/>
      <c r="E87" s="1"/>
      <c r="F87" s="1"/>
      <c r="G87" s="1" t="s">
        <v>176</v>
      </c>
      <c r="H87" s="22">
        <v>0</v>
      </c>
      <c r="I87" s="9"/>
      <c r="J87" s="22">
        <v>0</v>
      </c>
      <c r="K87" s="9"/>
      <c r="L87" s="22">
        <v>0</v>
      </c>
      <c r="M87" s="9"/>
      <c r="N87" s="23">
        <f>ROUND(IF(L87=0, IF(J87=0, 0, 1), J87/L87),5)</f>
        <v>0</v>
      </c>
      <c r="O87" s="9"/>
      <c r="P87" s="22">
        <v>0</v>
      </c>
      <c r="R87" s="35">
        <v>0</v>
      </c>
      <c r="T87" s="23"/>
    </row>
    <row r="88" spans="1:20" ht="15" thickBot="1">
      <c r="A88" s="1"/>
      <c r="B88" s="1"/>
      <c r="C88" s="1"/>
      <c r="D88" s="1"/>
      <c r="E88" s="1"/>
      <c r="F88" s="1"/>
      <c r="G88" s="1" t="s">
        <v>177</v>
      </c>
      <c r="H88" s="25">
        <v>8.8699999999999992</v>
      </c>
      <c r="I88" s="9"/>
      <c r="J88" s="25">
        <v>1559.02</v>
      </c>
      <c r="K88" s="9"/>
      <c r="L88" s="25">
        <v>5000</v>
      </c>
      <c r="M88" s="9"/>
      <c r="N88" s="26">
        <f>ROUND(IF(L88=0, IF(J88=0, 0, 1), J88/L88),5)</f>
        <v>0.31180000000000002</v>
      </c>
      <c r="O88" s="9"/>
      <c r="P88" s="25">
        <v>5000</v>
      </c>
      <c r="R88" s="25">
        <v>5000</v>
      </c>
      <c r="T88" s="26">
        <f t="shared" ref="T88:T91" si="15">SUM(J88/R88)</f>
        <v>0.31180399999999997</v>
      </c>
    </row>
    <row r="89" spans="1:20">
      <c r="A89" s="1"/>
      <c r="B89" s="1"/>
      <c r="C89" s="1"/>
      <c r="D89" s="1"/>
      <c r="E89" s="1"/>
      <c r="F89" s="1" t="s">
        <v>178</v>
      </c>
      <c r="G89" s="1"/>
      <c r="H89" s="22">
        <f>ROUND(SUM(H86:H88),5)</f>
        <v>8.8699999999999992</v>
      </c>
      <c r="I89" s="9"/>
      <c r="J89" s="22">
        <f>ROUND(SUM(J86:J88),5)</f>
        <v>1559.02</v>
      </c>
      <c r="K89" s="9"/>
      <c r="L89" s="22">
        <f>ROUND(SUM(L86:L88),5)</f>
        <v>5000</v>
      </c>
      <c r="M89" s="9"/>
      <c r="N89" s="23">
        <f>ROUND(IF(L89=0, IF(J89=0, 0, 1), J89/L89),5)</f>
        <v>0.31180000000000002</v>
      </c>
      <c r="O89" s="9"/>
      <c r="P89" s="22">
        <f>ROUND(SUM(P86:P88),5)</f>
        <v>5000</v>
      </c>
      <c r="R89" s="37">
        <f>SUM(R87:R88)</f>
        <v>5000</v>
      </c>
      <c r="T89" s="23">
        <f t="shared" si="15"/>
        <v>0.31180399999999997</v>
      </c>
    </row>
    <row r="90" spans="1:20" ht="15" thickBot="1">
      <c r="A90" s="1"/>
      <c r="B90" s="1"/>
      <c r="C90" s="1"/>
      <c r="D90" s="1"/>
      <c r="E90" s="1"/>
      <c r="F90" s="1" t="s">
        <v>179</v>
      </c>
      <c r="G90" s="1"/>
      <c r="H90" s="25">
        <v>241.88</v>
      </c>
      <c r="I90" s="9"/>
      <c r="J90" s="25">
        <v>8579.48</v>
      </c>
      <c r="K90" s="9"/>
      <c r="L90" s="25">
        <v>5000</v>
      </c>
      <c r="M90" s="9"/>
      <c r="N90" s="26">
        <f>ROUND(IF(L90=0, IF(J90=0, 0, 1), J90/L90),5)</f>
        <v>1.7159</v>
      </c>
      <c r="O90" s="9"/>
      <c r="P90" s="25">
        <v>5000</v>
      </c>
      <c r="R90" s="38">
        <v>5000</v>
      </c>
      <c r="T90" s="26">
        <f t="shared" si="15"/>
        <v>1.7158959999999999</v>
      </c>
    </row>
    <row r="91" spans="1:20">
      <c r="A91" s="1"/>
      <c r="B91" s="1"/>
      <c r="C91" s="1"/>
      <c r="D91" s="1"/>
      <c r="E91" s="1" t="s">
        <v>180</v>
      </c>
      <c r="F91" s="1"/>
      <c r="G91" s="1"/>
      <c r="H91" s="22">
        <f>ROUND(SUM(H52:H53)+H57+SUM(H71:H74)+SUM(H78:H85)+SUM(H89:H90),5)</f>
        <v>18726.25</v>
      </c>
      <c r="I91" s="9"/>
      <c r="J91" s="22">
        <f>ROUND(SUM(J52:J53)+J57+SUM(J71:J74)+SUM(J78:J85)+SUM(J89:J90),5)</f>
        <v>221213.53</v>
      </c>
      <c r="K91" s="9"/>
      <c r="L91" s="22">
        <f>ROUND(SUM(L52:L53)+L57+SUM(L71:L74)+SUM(L78:L85)+SUM(L89:L90),5)</f>
        <v>224125</v>
      </c>
      <c r="M91" s="9"/>
      <c r="N91" s="23">
        <f>ROUND(IF(L91=0, IF(J91=0, 0, 1), J91/L91),5)</f>
        <v>0.98701000000000005</v>
      </c>
      <c r="O91" s="9"/>
      <c r="P91" s="22">
        <f>ROUND(SUM(P52:P53)+P57+SUM(P71:P74)+SUM(P78:P85)+SUM(P89:P90),5)</f>
        <v>224125</v>
      </c>
      <c r="R91" s="32">
        <f>SUM(R90,R89,R78:R85,R71:R74,R57,R53)</f>
        <v>216976</v>
      </c>
      <c r="T91" s="23">
        <f t="shared" si="15"/>
        <v>1.0195299480126834</v>
      </c>
    </row>
    <row r="92" spans="1:20">
      <c r="A92" s="1"/>
      <c r="B92" s="1"/>
      <c r="C92" s="1"/>
      <c r="D92" s="1"/>
      <c r="E92" s="1" t="s">
        <v>181</v>
      </c>
      <c r="F92" s="1"/>
      <c r="G92" s="1"/>
      <c r="H92" s="22"/>
      <c r="I92" s="9"/>
      <c r="J92" s="22"/>
      <c r="K92" s="9"/>
      <c r="L92" s="22"/>
      <c r="M92" s="9"/>
      <c r="N92" s="23"/>
      <c r="O92" s="9"/>
      <c r="P92" s="22"/>
    </row>
    <row r="93" spans="1:20">
      <c r="A93" s="1"/>
      <c r="B93" s="1"/>
      <c r="C93" s="1"/>
      <c r="D93" s="1"/>
      <c r="E93" s="1"/>
      <c r="F93" s="1" t="s">
        <v>182</v>
      </c>
      <c r="G93" s="1"/>
      <c r="H93" s="22">
        <v>5194.8999999999996</v>
      </c>
      <c r="I93" s="9"/>
      <c r="J93" s="22">
        <v>21154.55</v>
      </c>
      <c r="K93" s="9"/>
      <c r="L93" s="22">
        <v>22000</v>
      </c>
      <c r="M93" s="9"/>
      <c r="N93" s="23">
        <f>ROUND(IF(L93=0, IF(J93=0, 0, 1), J93/L93),5)</f>
        <v>0.96157000000000004</v>
      </c>
      <c r="O93" s="9"/>
      <c r="P93" s="22">
        <v>22000</v>
      </c>
      <c r="R93" s="39">
        <v>20000</v>
      </c>
      <c r="T93" s="23">
        <f t="shared" ref="T93:T102" si="16">SUM(J93/R93)</f>
        <v>1.0577274999999999</v>
      </c>
    </row>
    <row r="94" spans="1:20">
      <c r="A94" s="1"/>
      <c r="B94" s="1"/>
      <c r="C94" s="1"/>
      <c r="D94" s="1"/>
      <c r="E94" s="1"/>
      <c r="F94" s="1" t="s">
        <v>183</v>
      </c>
      <c r="G94" s="1"/>
      <c r="H94" s="22">
        <v>901.67</v>
      </c>
      <c r="I94" s="9"/>
      <c r="J94" s="22">
        <v>15466.73</v>
      </c>
      <c r="K94" s="9"/>
      <c r="L94" s="22">
        <v>9500</v>
      </c>
      <c r="M94" s="9"/>
      <c r="N94" s="23">
        <f>ROUND(IF(L94=0, IF(J94=0, 0, 1), J94/L94),5)</f>
        <v>1.62808</v>
      </c>
      <c r="O94" s="9"/>
      <c r="P94" s="22">
        <v>9500</v>
      </c>
      <c r="R94" s="39">
        <v>12500</v>
      </c>
      <c r="T94" s="23">
        <f t="shared" si="16"/>
        <v>1.2373384000000001</v>
      </c>
    </row>
    <row r="95" spans="1:20">
      <c r="A95" s="1"/>
      <c r="B95" s="1"/>
      <c r="C95" s="1"/>
      <c r="D95" s="1"/>
      <c r="E95" s="1"/>
      <c r="F95" s="1" t="s">
        <v>184</v>
      </c>
      <c r="G95" s="1"/>
      <c r="H95" s="22">
        <v>0</v>
      </c>
      <c r="I95" s="9"/>
      <c r="J95" s="22">
        <v>904.47</v>
      </c>
      <c r="K95" s="9"/>
      <c r="L95" s="22">
        <v>0</v>
      </c>
      <c r="M95" s="9"/>
      <c r="N95" s="23">
        <f>ROUND(IF(L95=0, IF(J95=0, 0, 1), J95/L95),5)</f>
        <v>1</v>
      </c>
      <c r="O95" s="9"/>
      <c r="P95" s="22">
        <v>0</v>
      </c>
      <c r="R95" s="34">
        <v>0</v>
      </c>
      <c r="T95" s="23">
        <v>0</v>
      </c>
    </row>
    <row r="96" spans="1:20">
      <c r="A96" s="1"/>
      <c r="B96" s="1"/>
      <c r="C96" s="1"/>
      <c r="D96" s="1"/>
      <c r="E96" s="1"/>
      <c r="F96" s="1" t="s">
        <v>185</v>
      </c>
      <c r="G96" s="1"/>
      <c r="H96" s="22">
        <v>5525</v>
      </c>
      <c r="I96" s="9"/>
      <c r="J96" s="22">
        <v>16421.669999999998</v>
      </c>
      <c r="K96" s="9"/>
      <c r="L96" s="22">
        <v>22000</v>
      </c>
      <c r="M96" s="9"/>
      <c r="N96" s="23">
        <f>ROUND(IF(L96=0, IF(J96=0, 0, 1), J96/L96),5)</f>
        <v>0.74643999999999999</v>
      </c>
      <c r="O96" s="9"/>
      <c r="P96" s="22">
        <v>22000</v>
      </c>
      <c r="R96" s="39">
        <v>22000</v>
      </c>
      <c r="T96" s="23">
        <f t="shared" si="16"/>
        <v>0.74643954545454538</v>
      </c>
    </row>
    <row r="97" spans="1:20">
      <c r="A97" s="1"/>
      <c r="B97" s="1"/>
      <c r="C97" s="1"/>
      <c r="D97" s="1"/>
      <c r="E97" s="1"/>
      <c r="F97" s="1" t="s">
        <v>186</v>
      </c>
      <c r="G97" s="1"/>
      <c r="H97" s="22">
        <v>271</v>
      </c>
      <c r="I97" s="9"/>
      <c r="J97" s="22">
        <v>1091.71</v>
      </c>
      <c r="K97" s="9"/>
      <c r="L97" s="22">
        <v>6520</v>
      </c>
      <c r="M97" s="9"/>
      <c r="N97" s="23">
        <f>ROUND(IF(L97=0, IF(J97=0, 0, 1), J97/L97),5)</f>
        <v>0.16744000000000001</v>
      </c>
      <c r="O97" s="9"/>
      <c r="P97" s="22">
        <v>6520</v>
      </c>
      <c r="R97" s="39">
        <v>3000</v>
      </c>
      <c r="T97" s="23">
        <f t="shared" si="16"/>
        <v>0.36390333333333336</v>
      </c>
    </row>
    <row r="98" spans="1:20">
      <c r="A98" s="1"/>
      <c r="B98" s="1"/>
      <c r="C98" s="1"/>
      <c r="D98" s="1"/>
      <c r="E98" s="1"/>
      <c r="F98" s="1" t="s">
        <v>187</v>
      </c>
      <c r="G98" s="1"/>
      <c r="H98" s="22"/>
      <c r="I98" s="9"/>
      <c r="J98" s="22"/>
      <c r="K98" s="9"/>
      <c r="L98" s="22"/>
      <c r="M98" s="9"/>
      <c r="N98" s="23"/>
      <c r="O98" s="9"/>
      <c r="P98" s="22"/>
      <c r="R98" s="34"/>
      <c r="T98" s="23"/>
    </row>
    <row r="99" spans="1:20">
      <c r="A99" s="1"/>
      <c r="B99" s="1"/>
      <c r="C99" s="1"/>
      <c r="D99" s="1"/>
      <c r="E99" s="1"/>
      <c r="F99" s="1"/>
      <c r="G99" s="1" t="s">
        <v>188</v>
      </c>
      <c r="H99" s="22">
        <v>0</v>
      </c>
      <c r="I99" s="9"/>
      <c r="J99" s="22">
        <v>441</v>
      </c>
      <c r="K99" s="9"/>
      <c r="L99" s="22"/>
      <c r="M99" s="9"/>
      <c r="N99" s="23"/>
      <c r="O99" s="9"/>
      <c r="P99" s="22"/>
      <c r="R99" s="34"/>
      <c r="T99" s="23"/>
    </row>
    <row r="100" spans="1:20" ht="15" thickBot="1">
      <c r="A100" s="1"/>
      <c r="B100" s="1"/>
      <c r="C100" s="1"/>
      <c r="D100" s="1"/>
      <c r="E100" s="1"/>
      <c r="F100" s="1"/>
      <c r="G100" s="1" t="s">
        <v>189</v>
      </c>
      <c r="H100" s="28">
        <v>3143.66</v>
      </c>
      <c r="I100" s="9"/>
      <c r="J100" s="28">
        <v>23774.01</v>
      </c>
      <c r="K100" s="9"/>
      <c r="L100" s="28">
        <v>23300</v>
      </c>
      <c r="M100" s="9"/>
      <c r="N100" s="29">
        <f>ROUND(IF(L100=0, IF(J100=0, 0, 1), J100/L100),5)</f>
        <v>1.02034</v>
      </c>
      <c r="O100" s="9"/>
      <c r="P100" s="28">
        <v>23300</v>
      </c>
      <c r="R100" s="40">
        <v>21800</v>
      </c>
      <c r="T100" s="26">
        <f t="shared" si="16"/>
        <v>1.0905509174311925</v>
      </c>
    </row>
    <row r="101" spans="1:20" ht="15" thickBot="1">
      <c r="A101" s="1"/>
      <c r="B101" s="1"/>
      <c r="C101" s="1"/>
      <c r="D101" s="1"/>
      <c r="E101" s="1"/>
      <c r="F101" s="1" t="s">
        <v>190</v>
      </c>
      <c r="G101" s="1"/>
      <c r="H101" s="30">
        <f>ROUND(SUM(H98:H100),5)</f>
        <v>3143.66</v>
      </c>
      <c r="I101" s="9"/>
      <c r="J101" s="30">
        <f>ROUND(SUM(J98:J100),5)</f>
        <v>24215.01</v>
      </c>
      <c r="K101" s="9"/>
      <c r="L101" s="30">
        <f>ROUND(SUM(L98:L100),5)</f>
        <v>23300</v>
      </c>
      <c r="M101" s="9"/>
      <c r="N101" s="31">
        <f>ROUND(IF(L101=0, IF(J101=0, 0, 1), J101/L101),5)</f>
        <v>1.0392699999999999</v>
      </c>
      <c r="O101" s="9"/>
      <c r="P101" s="30">
        <f>ROUND(SUM(P98:P100),5)</f>
        <v>23300</v>
      </c>
      <c r="R101" s="41">
        <f>SUM(R99:R100)</f>
        <v>21800</v>
      </c>
      <c r="T101" s="31">
        <f t="shared" si="16"/>
        <v>1.1107802752293576</v>
      </c>
    </row>
    <row r="102" spans="1:20">
      <c r="A102" s="1"/>
      <c r="B102" s="1"/>
      <c r="C102" s="1"/>
      <c r="D102" s="1"/>
      <c r="E102" s="1" t="s">
        <v>191</v>
      </c>
      <c r="F102" s="1"/>
      <c r="G102" s="1"/>
      <c r="H102" s="22">
        <f>ROUND(SUM(H92:H97)+H101,5)</f>
        <v>15036.23</v>
      </c>
      <c r="I102" s="9"/>
      <c r="J102" s="22">
        <f>ROUND(SUM(J92:J97)+J101,5)</f>
        <v>79254.14</v>
      </c>
      <c r="K102" s="9"/>
      <c r="L102" s="22">
        <f>ROUND(SUM(L92:L97)+L101,5)</f>
        <v>83320</v>
      </c>
      <c r="M102" s="9"/>
      <c r="N102" s="23">
        <f>ROUND(IF(L102=0, IF(J102=0, 0, 1), J102/L102),5)</f>
        <v>0.95120000000000005</v>
      </c>
      <c r="O102" s="9"/>
      <c r="P102" s="22">
        <f>ROUND(SUM(P92:P97)+P101,5)</f>
        <v>83320</v>
      </c>
      <c r="R102" s="39">
        <f>SUM(R101,R93:R97)</f>
        <v>79300</v>
      </c>
      <c r="T102" s="42">
        <f t="shared" si="16"/>
        <v>0.99942168978562418</v>
      </c>
    </row>
    <row r="103" spans="1:20">
      <c r="A103" s="1"/>
      <c r="B103" s="1"/>
      <c r="C103" s="1"/>
      <c r="D103" s="1"/>
      <c r="E103" s="1" t="s">
        <v>192</v>
      </c>
      <c r="F103" s="1"/>
      <c r="G103" s="1"/>
      <c r="H103" s="22"/>
      <c r="I103" s="9"/>
      <c r="J103" s="22"/>
      <c r="K103" s="9"/>
      <c r="L103" s="22"/>
      <c r="M103" s="9"/>
      <c r="N103" s="23"/>
      <c r="O103" s="9"/>
      <c r="P103" s="22"/>
    </row>
    <row r="104" spans="1:20">
      <c r="A104" s="1"/>
      <c r="B104" s="1"/>
      <c r="C104" s="1"/>
      <c r="D104" s="1"/>
      <c r="E104" s="1"/>
      <c r="F104" s="1" t="s">
        <v>193</v>
      </c>
      <c r="G104" s="1"/>
      <c r="H104" s="22">
        <v>377.2</v>
      </c>
      <c r="I104" s="9"/>
      <c r="J104" s="22">
        <v>2290.1999999999998</v>
      </c>
      <c r="K104" s="9"/>
      <c r="L104" s="22">
        <v>2245</v>
      </c>
      <c r="M104" s="9"/>
      <c r="N104" s="23">
        <f>ROUND(IF(L104=0, IF(J104=0, 0, 1), J104/L104),5)</f>
        <v>1.02013</v>
      </c>
      <c r="O104" s="9"/>
      <c r="P104" s="22">
        <v>2245</v>
      </c>
      <c r="R104" s="24">
        <v>2245</v>
      </c>
      <c r="T104" s="23">
        <f t="shared" ref="T104:T125" si="17">SUM(J104/R104)</f>
        <v>1.0201336302895323</v>
      </c>
    </row>
    <row r="105" spans="1:20">
      <c r="A105" s="1"/>
      <c r="B105" s="1"/>
      <c r="C105" s="1"/>
      <c r="D105" s="1"/>
      <c r="E105" s="1"/>
      <c r="F105" s="1" t="s">
        <v>194</v>
      </c>
      <c r="G105" s="1"/>
      <c r="H105" s="22"/>
      <c r="I105" s="9"/>
      <c r="J105" s="22"/>
      <c r="K105" s="9"/>
      <c r="L105" s="22"/>
      <c r="M105" s="9"/>
      <c r="N105" s="23"/>
      <c r="O105" s="9"/>
      <c r="P105" s="22"/>
      <c r="R105" s="24"/>
      <c r="T105" s="23"/>
    </row>
    <row r="106" spans="1:20">
      <c r="A106" s="1"/>
      <c r="B106" s="1"/>
      <c r="C106" s="1"/>
      <c r="D106" s="1"/>
      <c r="E106" s="1"/>
      <c r="F106" s="1"/>
      <c r="G106" s="1" t="s">
        <v>195</v>
      </c>
      <c r="H106" s="22">
        <v>456.44</v>
      </c>
      <c r="I106" s="9"/>
      <c r="J106" s="22">
        <v>2853.34</v>
      </c>
      <c r="K106" s="9"/>
      <c r="L106" s="22">
        <v>4500</v>
      </c>
      <c r="M106" s="9"/>
      <c r="N106" s="23">
        <f>ROUND(IF(L106=0, IF(J106=0, 0, 1), J106/L106),5)</f>
        <v>0.63407999999999998</v>
      </c>
      <c r="O106" s="9"/>
      <c r="P106" s="22">
        <v>4500</v>
      </c>
      <c r="R106" s="24">
        <v>4200</v>
      </c>
      <c r="T106" s="23">
        <f t="shared" si="17"/>
        <v>0.67936666666666667</v>
      </c>
    </row>
    <row r="107" spans="1:20" ht="15" thickBot="1">
      <c r="A107" s="1"/>
      <c r="B107" s="1"/>
      <c r="C107" s="1"/>
      <c r="D107" s="1"/>
      <c r="E107" s="1"/>
      <c r="F107" s="1"/>
      <c r="G107" s="1" t="s">
        <v>196</v>
      </c>
      <c r="H107" s="25">
        <v>28.5</v>
      </c>
      <c r="I107" s="9"/>
      <c r="J107" s="25">
        <v>13323.05</v>
      </c>
      <c r="K107" s="9"/>
      <c r="L107" s="25">
        <v>10750</v>
      </c>
      <c r="M107" s="9"/>
      <c r="N107" s="26">
        <f>ROUND(IF(L107=0, IF(J107=0, 0, 1), J107/L107),5)</f>
        <v>1.23935</v>
      </c>
      <c r="O107" s="9"/>
      <c r="P107" s="25">
        <v>10750</v>
      </c>
      <c r="R107" s="27">
        <v>13750</v>
      </c>
      <c r="T107" s="26">
        <f t="shared" si="17"/>
        <v>0.96894909090909087</v>
      </c>
    </row>
    <row r="108" spans="1:20">
      <c r="A108" s="1"/>
      <c r="B108" s="1"/>
      <c r="C108" s="1"/>
      <c r="D108" s="1"/>
      <c r="E108" s="1"/>
      <c r="F108" s="1" t="s">
        <v>197</v>
      </c>
      <c r="G108" s="1"/>
      <c r="H108" s="22">
        <f>ROUND(SUM(H105:H107),5)</f>
        <v>484.94</v>
      </c>
      <c r="I108" s="9"/>
      <c r="J108" s="22">
        <f>ROUND(SUM(J105:J107),5)</f>
        <v>16176.39</v>
      </c>
      <c r="K108" s="9"/>
      <c r="L108" s="22">
        <f>ROUND(SUM(L105:L107),5)</f>
        <v>15250</v>
      </c>
      <c r="M108" s="9"/>
      <c r="N108" s="23">
        <f>ROUND(IF(L108=0, IF(J108=0, 0, 1), J108/L108),5)</f>
        <v>1.0607500000000001</v>
      </c>
      <c r="O108" s="9"/>
      <c r="P108" s="22">
        <f>ROUND(SUM(P105:P107),5)</f>
        <v>15250</v>
      </c>
      <c r="R108" s="24">
        <f>SUM(R106:R107)</f>
        <v>17950</v>
      </c>
      <c r="T108" s="23">
        <f t="shared" si="17"/>
        <v>0.90119164345403902</v>
      </c>
    </row>
    <row r="109" spans="1:20">
      <c r="A109" s="1"/>
      <c r="B109" s="1"/>
      <c r="C109" s="1"/>
      <c r="D109" s="1"/>
      <c r="E109" s="1"/>
      <c r="F109" s="1" t="s">
        <v>198</v>
      </c>
      <c r="G109" s="1"/>
      <c r="H109" s="22">
        <v>4646.79</v>
      </c>
      <c r="I109" s="9"/>
      <c r="J109" s="22">
        <v>12426.66</v>
      </c>
      <c r="K109" s="9"/>
      <c r="L109" s="22">
        <v>14538</v>
      </c>
      <c r="M109" s="9"/>
      <c r="N109" s="23">
        <f>ROUND(IF(L109=0, IF(J109=0, 0, 1), J109/L109),5)</f>
        <v>0.85477000000000003</v>
      </c>
      <c r="O109" s="9"/>
      <c r="P109" s="22">
        <v>14538</v>
      </c>
      <c r="R109" s="24">
        <v>14538</v>
      </c>
      <c r="T109" s="23">
        <f t="shared" si="17"/>
        <v>0.85477094510936857</v>
      </c>
    </row>
    <row r="110" spans="1:20">
      <c r="A110" s="1"/>
      <c r="B110" s="1"/>
      <c r="C110" s="1"/>
      <c r="D110" s="1"/>
      <c r="E110" s="1"/>
      <c r="F110" s="1" t="s">
        <v>199</v>
      </c>
      <c r="G110" s="1"/>
      <c r="H110" s="22">
        <v>416.91</v>
      </c>
      <c r="I110" s="9"/>
      <c r="J110" s="22">
        <v>2592.38</v>
      </c>
      <c r="K110" s="9"/>
      <c r="L110" s="22">
        <v>5800</v>
      </c>
      <c r="M110" s="9"/>
      <c r="N110" s="23">
        <f>ROUND(IF(L110=0, IF(J110=0, 0, 1), J110/L110),5)</f>
        <v>0.44696000000000002</v>
      </c>
      <c r="O110" s="9"/>
      <c r="P110" s="22">
        <v>5800</v>
      </c>
      <c r="R110" s="24">
        <v>4000</v>
      </c>
      <c r="T110" s="23">
        <f t="shared" si="17"/>
        <v>0.64809499999999998</v>
      </c>
    </row>
    <row r="111" spans="1:20">
      <c r="A111" s="1"/>
      <c r="B111" s="1"/>
      <c r="C111" s="1"/>
      <c r="D111" s="1"/>
      <c r="E111" s="1"/>
      <c r="F111" s="1" t="s">
        <v>200</v>
      </c>
      <c r="G111" s="1"/>
      <c r="H111" s="22"/>
      <c r="I111" s="9"/>
      <c r="J111" s="22"/>
      <c r="K111" s="9"/>
      <c r="L111" s="22"/>
      <c r="M111" s="9"/>
      <c r="N111" s="23"/>
      <c r="O111" s="9"/>
      <c r="P111" s="22"/>
    </row>
    <row r="112" spans="1:20">
      <c r="A112" s="1"/>
      <c r="B112" s="1"/>
      <c r="C112" s="1"/>
      <c r="D112" s="1"/>
      <c r="E112" s="1"/>
      <c r="F112" s="1"/>
      <c r="G112" s="1" t="s">
        <v>201</v>
      </c>
      <c r="H112" s="22">
        <v>0</v>
      </c>
      <c r="I112" s="9"/>
      <c r="J112" s="22">
        <v>262.5</v>
      </c>
      <c r="K112" s="9"/>
      <c r="L112" s="22"/>
      <c r="M112" s="9"/>
      <c r="N112" s="23"/>
      <c r="O112" s="9"/>
      <c r="P112" s="22"/>
      <c r="T112" s="23"/>
    </row>
    <row r="113" spans="1:20" ht="15" thickBot="1">
      <c r="A113" s="1"/>
      <c r="B113" s="1"/>
      <c r="C113" s="1"/>
      <c r="D113" s="1"/>
      <c r="E113" s="1"/>
      <c r="F113" s="1"/>
      <c r="G113" s="1" t="s">
        <v>202</v>
      </c>
      <c r="H113" s="25">
        <v>870</v>
      </c>
      <c r="I113" s="9"/>
      <c r="J113" s="25">
        <v>10905</v>
      </c>
      <c r="K113" s="9"/>
      <c r="L113" s="25">
        <v>28720</v>
      </c>
      <c r="M113" s="9"/>
      <c r="N113" s="26">
        <f>ROUND(IF(L113=0, IF(J113=0, 0, 1), J113/L113),5)</f>
        <v>0.37969999999999998</v>
      </c>
      <c r="O113" s="9"/>
      <c r="P113" s="25">
        <v>28720</v>
      </c>
      <c r="R113" s="27">
        <v>28720</v>
      </c>
      <c r="T113" s="26">
        <f t="shared" si="17"/>
        <v>0.37970055710306405</v>
      </c>
    </row>
    <row r="114" spans="1:20">
      <c r="A114" s="1"/>
      <c r="B114" s="1"/>
      <c r="C114" s="1"/>
      <c r="D114" s="1"/>
      <c r="E114" s="1"/>
      <c r="F114" s="1" t="s">
        <v>203</v>
      </c>
      <c r="G114" s="1"/>
      <c r="H114" s="22">
        <f>ROUND(SUM(H111:H113),5)</f>
        <v>870</v>
      </c>
      <c r="I114" s="9"/>
      <c r="J114" s="22">
        <f>ROUND(SUM(J111:J113),5)</f>
        <v>11167.5</v>
      </c>
      <c r="K114" s="9"/>
      <c r="L114" s="22">
        <f>ROUND(SUM(L111:L113),5)</f>
        <v>28720</v>
      </c>
      <c r="M114" s="9"/>
      <c r="N114" s="23">
        <f>ROUND(IF(L114=0, IF(J114=0, 0, 1), J114/L114),5)</f>
        <v>0.38884000000000002</v>
      </c>
      <c r="O114" s="9"/>
      <c r="P114" s="22">
        <f>ROUND(SUM(P111:P113),5)</f>
        <v>28720</v>
      </c>
      <c r="R114" s="22">
        <f t="shared" ref="R114" si="18">ROUND(SUM(R111:R113),5)</f>
        <v>28720</v>
      </c>
      <c r="T114" s="42">
        <f t="shared" si="17"/>
        <v>0.38884052924791085</v>
      </c>
    </row>
    <row r="115" spans="1:20">
      <c r="A115" s="1"/>
      <c r="B115" s="1"/>
      <c r="C115" s="1"/>
      <c r="D115" s="1"/>
      <c r="E115" s="1"/>
      <c r="F115" s="1" t="s">
        <v>204</v>
      </c>
      <c r="G115" s="1"/>
      <c r="H115" s="22">
        <v>0</v>
      </c>
      <c r="I115" s="9"/>
      <c r="J115" s="22">
        <v>143.6</v>
      </c>
      <c r="K115" s="9"/>
      <c r="L115" s="22"/>
      <c r="M115" s="9"/>
      <c r="N115" s="23"/>
      <c r="O115" s="9"/>
      <c r="P115" s="22"/>
      <c r="R115" s="24">
        <v>300</v>
      </c>
      <c r="T115" s="23">
        <f t="shared" si="17"/>
        <v>0.47866666666666663</v>
      </c>
    </row>
    <row r="116" spans="1:20">
      <c r="A116" s="1"/>
      <c r="B116" s="1"/>
      <c r="C116" s="1"/>
      <c r="D116" s="1"/>
      <c r="E116" s="1"/>
      <c r="F116" s="1" t="s">
        <v>205</v>
      </c>
      <c r="G116" s="1"/>
      <c r="H116" s="22">
        <v>21.43</v>
      </c>
      <c r="I116" s="9"/>
      <c r="J116" s="22">
        <v>1965.48</v>
      </c>
      <c r="K116" s="9"/>
      <c r="L116" s="22">
        <v>3075</v>
      </c>
      <c r="M116" s="9"/>
      <c r="N116" s="23">
        <f t="shared" ref="N116:N123" si="19">ROUND(IF(L116=0, IF(J116=0, 0, 1), J116/L116),5)</f>
        <v>0.63917999999999997</v>
      </c>
      <c r="O116" s="9"/>
      <c r="P116" s="22">
        <v>3075</v>
      </c>
      <c r="R116" s="24">
        <v>3075</v>
      </c>
      <c r="T116" s="23">
        <f t="shared" si="17"/>
        <v>0.63918048780487802</v>
      </c>
    </row>
    <row r="117" spans="1:20">
      <c r="A117" s="1"/>
      <c r="B117" s="1"/>
      <c r="C117" s="1"/>
      <c r="D117" s="1"/>
      <c r="E117" s="1"/>
      <c r="F117" s="1" t="s">
        <v>206</v>
      </c>
      <c r="G117" s="1"/>
      <c r="H117" s="22">
        <v>0</v>
      </c>
      <c r="I117" s="9"/>
      <c r="J117" s="22">
        <v>153.47</v>
      </c>
      <c r="K117" s="9"/>
      <c r="L117" s="22">
        <v>1500</v>
      </c>
      <c r="M117" s="9"/>
      <c r="N117" s="23">
        <f t="shared" si="19"/>
        <v>0.10231</v>
      </c>
      <c r="O117" s="9"/>
      <c r="P117" s="22">
        <v>1500</v>
      </c>
      <c r="R117" s="24">
        <v>1000</v>
      </c>
      <c r="T117" s="23">
        <f t="shared" si="17"/>
        <v>0.15347</v>
      </c>
    </row>
    <row r="118" spans="1:20">
      <c r="A118" s="1"/>
      <c r="B118" s="1"/>
      <c r="C118" s="1"/>
      <c r="D118" s="1"/>
      <c r="E118" s="1"/>
      <c r="F118" s="1" t="s">
        <v>207</v>
      </c>
      <c r="G118" s="1"/>
      <c r="H118" s="22">
        <v>2000</v>
      </c>
      <c r="I118" s="9"/>
      <c r="J118" s="22">
        <v>2817.4</v>
      </c>
      <c r="K118" s="9"/>
      <c r="L118" s="22">
        <v>3000</v>
      </c>
      <c r="M118" s="9"/>
      <c r="N118" s="23">
        <f t="shared" si="19"/>
        <v>0.93913000000000002</v>
      </c>
      <c r="O118" s="9"/>
      <c r="P118" s="22">
        <v>3000</v>
      </c>
      <c r="R118" s="24">
        <v>2000</v>
      </c>
      <c r="T118" s="23">
        <f t="shared" si="17"/>
        <v>1.4087000000000001</v>
      </c>
    </row>
    <row r="119" spans="1:20">
      <c r="A119" s="1"/>
      <c r="B119" s="1"/>
      <c r="C119" s="1"/>
      <c r="D119" s="1"/>
      <c r="E119" s="1"/>
      <c r="F119" s="1" t="s">
        <v>208</v>
      </c>
      <c r="G119" s="1"/>
      <c r="H119" s="22">
        <v>511.81</v>
      </c>
      <c r="I119" s="9"/>
      <c r="J119" s="22">
        <v>3053.84</v>
      </c>
      <c r="K119" s="9"/>
      <c r="L119" s="22">
        <v>6700</v>
      </c>
      <c r="M119" s="9"/>
      <c r="N119" s="23">
        <f t="shared" si="19"/>
        <v>0.45579999999999998</v>
      </c>
      <c r="O119" s="9"/>
      <c r="P119" s="22">
        <v>6700</v>
      </c>
      <c r="R119" s="24">
        <v>6000</v>
      </c>
      <c r="T119" s="23">
        <f t="shared" si="17"/>
        <v>0.50897333333333339</v>
      </c>
    </row>
    <row r="120" spans="1:20">
      <c r="A120" s="1"/>
      <c r="B120" s="1"/>
      <c r="C120" s="1"/>
      <c r="D120" s="1"/>
      <c r="E120" s="1"/>
      <c r="F120" s="1" t="s">
        <v>209</v>
      </c>
      <c r="G120" s="1"/>
      <c r="H120" s="22">
        <v>0</v>
      </c>
      <c r="I120" s="9"/>
      <c r="J120" s="22">
        <v>-640.54999999999995</v>
      </c>
      <c r="K120" s="9"/>
      <c r="L120" s="22">
        <v>0</v>
      </c>
      <c r="M120" s="9"/>
      <c r="N120" s="23">
        <f t="shared" si="19"/>
        <v>1</v>
      </c>
      <c r="O120" s="9"/>
      <c r="P120" s="22">
        <v>0</v>
      </c>
      <c r="R120" s="24">
        <v>0</v>
      </c>
      <c r="T120" s="23">
        <v>0</v>
      </c>
    </row>
    <row r="121" spans="1:20">
      <c r="A121" s="1"/>
      <c r="B121" s="1"/>
      <c r="C121" s="1"/>
      <c r="D121" s="1"/>
      <c r="E121" s="1"/>
      <c r="F121" s="1" t="s">
        <v>210</v>
      </c>
      <c r="G121" s="1"/>
      <c r="H121" s="22">
        <v>0</v>
      </c>
      <c r="I121" s="9"/>
      <c r="J121" s="22">
        <v>1330.74</v>
      </c>
      <c r="K121" s="9"/>
      <c r="L121" s="22">
        <v>0</v>
      </c>
      <c r="M121" s="9"/>
      <c r="N121" s="23">
        <f t="shared" si="19"/>
        <v>1</v>
      </c>
      <c r="O121" s="9"/>
      <c r="P121" s="22">
        <v>0</v>
      </c>
      <c r="R121" s="24">
        <v>850</v>
      </c>
      <c r="T121" s="23">
        <f t="shared" si="17"/>
        <v>1.5655764705882353</v>
      </c>
    </row>
    <row r="122" spans="1:20">
      <c r="A122" s="1"/>
      <c r="B122" s="1"/>
      <c r="C122" s="1"/>
      <c r="D122" s="1"/>
      <c r="E122" s="1"/>
      <c r="F122" s="1" t="s">
        <v>211</v>
      </c>
      <c r="G122" s="1"/>
      <c r="H122" s="22">
        <v>1036.21</v>
      </c>
      <c r="I122" s="9"/>
      <c r="J122" s="22">
        <v>10878.73</v>
      </c>
      <c r="K122" s="9"/>
      <c r="L122" s="22">
        <v>11121</v>
      </c>
      <c r="M122" s="9"/>
      <c r="N122" s="23">
        <f t="shared" si="19"/>
        <v>0.97821999999999998</v>
      </c>
      <c r="O122" s="9"/>
      <c r="P122" s="22">
        <v>11121</v>
      </c>
      <c r="R122" s="24">
        <v>11121</v>
      </c>
      <c r="T122" s="23">
        <f t="shared" si="17"/>
        <v>0.97821508857117156</v>
      </c>
    </row>
    <row r="123" spans="1:20">
      <c r="A123" s="1"/>
      <c r="B123" s="1"/>
      <c r="C123" s="1"/>
      <c r="D123" s="1"/>
      <c r="E123" s="1"/>
      <c r="F123" s="1" t="s">
        <v>212</v>
      </c>
      <c r="G123" s="1"/>
      <c r="H123" s="22">
        <v>2925.79</v>
      </c>
      <c r="I123" s="9"/>
      <c r="J123" s="22">
        <v>3430.79</v>
      </c>
      <c r="K123" s="9"/>
      <c r="L123" s="22">
        <v>1500</v>
      </c>
      <c r="M123" s="9"/>
      <c r="N123" s="23">
        <f t="shared" si="19"/>
        <v>2.2871899999999998</v>
      </c>
      <c r="O123" s="9"/>
      <c r="P123" s="22">
        <v>1500</v>
      </c>
      <c r="R123" s="24">
        <v>1000</v>
      </c>
      <c r="T123" s="23">
        <f t="shared" si="17"/>
        <v>3.43079</v>
      </c>
    </row>
    <row r="124" spans="1:20">
      <c r="A124" s="1"/>
      <c r="B124" s="1"/>
      <c r="C124" s="1"/>
      <c r="D124" s="1"/>
      <c r="E124" s="1"/>
      <c r="F124" s="1" t="s">
        <v>213</v>
      </c>
      <c r="G124" s="1"/>
      <c r="H124" s="22">
        <v>0</v>
      </c>
      <c r="I124" s="9"/>
      <c r="J124" s="22">
        <v>1500</v>
      </c>
      <c r="K124" s="9"/>
      <c r="L124" s="22"/>
      <c r="M124" s="9"/>
      <c r="N124" s="23"/>
      <c r="O124" s="9"/>
      <c r="P124" s="22"/>
      <c r="R124" s="24">
        <v>0</v>
      </c>
      <c r="T124" s="23">
        <v>0</v>
      </c>
    </row>
    <row r="125" spans="1:20">
      <c r="A125" s="1"/>
      <c r="B125" s="1"/>
      <c r="C125" s="1"/>
      <c r="D125" s="1"/>
      <c r="E125" s="1"/>
      <c r="F125" s="1" t="s">
        <v>214</v>
      </c>
      <c r="G125" s="1"/>
      <c r="H125" s="22">
        <v>0</v>
      </c>
      <c r="I125" s="9"/>
      <c r="J125" s="22">
        <v>14.09</v>
      </c>
      <c r="K125" s="9"/>
      <c r="L125" s="22"/>
      <c r="M125" s="9"/>
      <c r="N125" s="23"/>
      <c r="O125" s="9"/>
      <c r="P125" s="22"/>
      <c r="R125" s="24">
        <v>30</v>
      </c>
      <c r="T125" s="23">
        <f t="shared" si="17"/>
        <v>0.46966666666666668</v>
      </c>
    </row>
    <row r="126" spans="1:20" ht="15" thickBot="1">
      <c r="A126" s="1"/>
      <c r="B126" s="1"/>
      <c r="C126" s="1"/>
      <c r="D126" s="1"/>
      <c r="E126" s="1"/>
      <c r="F126" s="1" t="s">
        <v>215</v>
      </c>
      <c r="G126" s="1"/>
      <c r="H126" s="28">
        <v>0</v>
      </c>
      <c r="I126" s="9"/>
      <c r="J126" s="28">
        <v>0</v>
      </c>
      <c r="K126" s="9"/>
      <c r="L126" s="28">
        <v>0</v>
      </c>
      <c r="M126" s="9"/>
      <c r="N126" s="29">
        <f>ROUND(IF(L126=0, IF(J126=0, 0, 1), J126/L126),5)</f>
        <v>0</v>
      </c>
      <c r="O126" s="9"/>
      <c r="P126" s="28">
        <v>0</v>
      </c>
      <c r="R126" s="24">
        <v>0</v>
      </c>
      <c r="T126">
        <v>0</v>
      </c>
    </row>
    <row r="127" spans="1:20" ht="15" thickBot="1">
      <c r="A127" s="1"/>
      <c r="B127" s="1"/>
      <c r="C127" s="1"/>
      <c r="D127" s="1"/>
      <c r="E127" s="1" t="s">
        <v>216</v>
      </c>
      <c r="F127" s="1"/>
      <c r="G127" s="1"/>
      <c r="H127" s="43">
        <f>ROUND(SUM(H103:H104)+SUM(H108:H110)+SUM(H114:H126),5)</f>
        <v>13291.08</v>
      </c>
      <c r="I127" s="9"/>
      <c r="J127" s="43">
        <f>ROUND(SUM(J103:J104)+SUM(J108:J110)+SUM(J114:J126),5)</f>
        <v>69300.72</v>
      </c>
      <c r="K127" s="9"/>
      <c r="L127" s="43">
        <f>ROUND(SUM(L103:L104)+SUM(L108:L110)+SUM(L114:L126),5)</f>
        <v>93449</v>
      </c>
      <c r="M127" s="9"/>
      <c r="N127" s="42">
        <f>ROUND(IF(L127=0, IF(J127=0, 0, 1), J127/L127),5)</f>
        <v>0.74158999999999997</v>
      </c>
      <c r="O127" s="9"/>
      <c r="P127" s="43">
        <f>ROUND(SUM(P103:P104)+SUM(P108:P110)+SUM(P114:P126),5)</f>
        <v>93449</v>
      </c>
      <c r="R127" s="44">
        <f>SUM(R104,R108,R109:R110,R114,R115:R126)</f>
        <v>92829</v>
      </c>
      <c r="T127" s="31">
        <f t="shared" ref="T127:T129" si="20">SUM(J127/R127)</f>
        <v>0.74654170571696343</v>
      </c>
    </row>
    <row r="128" spans="1:20" ht="15" thickBot="1">
      <c r="A128" s="1"/>
      <c r="B128" s="1"/>
      <c r="C128" s="1"/>
      <c r="D128" s="1" t="s">
        <v>217</v>
      </c>
      <c r="E128" s="1"/>
      <c r="F128" s="1"/>
      <c r="G128" s="1"/>
      <c r="H128" s="30">
        <f>ROUND(H36+H44+H51+H91+H102+H127,5)</f>
        <v>74875.78</v>
      </c>
      <c r="I128" s="9"/>
      <c r="J128" s="30">
        <f>ROUND(J36+J44+J51+J91+J102+J127,5)</f>
        <v>812864.98</v>
      </c>
      <c r="K128" s="9"/>
      <c r="L128" s="30">
        <f>ROUND(L36+L44+L51+L91+L102+L127,5)</f>
        <v>975139</v>
      </c>
      <c r="M128" s="9"/>
      <c r="N128" s="31">
        <f>ROUND(IF(L128=0, IF(J128=0, 0, 1), J128/L128),5)</f>
        <v>0.83359000000000005</v>
      </c>
      <c r="O128" s="9"/>
      <c r="P128" s="30">
        <f>ROUND(P36+P44+P51+P91+P102+P127,5)</f>
        <v>975139</v>
      </c>
      <c r="R128" s="30">
        <f>SUM(R44,R51,R91,R102,R127)</f>
        <v>930873</v>
      </c>
      <c r="T128" s="31">
        <f t="shared" si="20"/>
        <v>0.87322865740009648</v>
      </c>
    </row>
    <row r="129" spans="1:22">
      <c r="A129" s="1"/>
      <c r="B129" s="1" t="s">
        <v>218</v>
      </c>
      <c r="C129" s="1"/>
      <c r="D129" s="1"/>
      <c r="E129" s="1"/>
      <c r="F129" s="1"/>
      <c r="G129" s="1"/>
      <c r="H129" s="22">
        <f>ROUND(H3+H35-H128,5)</f>
        <v>96898.71</v>
      </c>
      <c r="I129" s="9"/>
      <c r="J129" s="22">
        <f>ROUND(J3+J35-J128,5)</f>
        <v>70600.12</v>
      </c>
      <c r="K129" s="9"/>
      <c r="L129" s="22">
        <f>ROUND(L3+L35-L128,5)</f>
        <v>26828</v>
      </c>
      <c r="M129" s="9"/>
      <c r="N129" s="23">
        <f>ROUND(IF(L129=0, IF(J129=0, 0, 1), J129/L129),5)</f>
        <v>2.63158</v>
      </c>
      <c r="O129" s="9"/>
      <c r="P129" s="22">
        <f>ROUND(P3+P35-P128,5)</f>
        <v>26828</v>
      </c>
      <c r="R129" s="22">
        <f>SUM(R34-R128)</f>
        <v>26927</v>
      </c>
      <c r="T129" s="23">
        <f t="shared" si="20"/>
        <v>2.6219081219593714</v>
      </c>
    </row>
    <row r="130" spans="1:22">
      <c r="A130" s="1"/>
      <c r="B130" s="1" t="s">
        <v>219</v>
      </c>
      <c r="C130" s="1"/>
      <c r="D130" s="1"/>
      <c r="E130" s="1"/>
      <c r="F130" s="1"/>
      <c r="G130" s="1"/>
      <c r="H130" s="22"/>
      <c r="I130" s="9"/>
      <c r="J130" s="22"/>
      <c r="K130" s="9"/>
      <c r="L130" s="22"/>
      <c r="M130" s="9"/>
      <c r="N130" s="23"/>
      <c r="O130" s="9"/>
      <c r="P130" s="22"/>
    </row>
    <row r="131" spans="1:22">
      <c r="A131" s="1"/>
      <c r="B131" s="1"/>
      <c r="C131" s="1" t="s">
        <v>220</v>
      </c>
      <c r="D131" s="1"/>
      <c r="E131" s="1"/>
      <c r="F131" s="1"/>
      <c r="G131" s="1"/>
      <c r="H131" s="22"/>
      <c r="I131" s="9"/>
      <c r="J131" s="22"/>
      <c r="K131" s="9"/>
      <c r="L131" s="22"/>
      <c r="M131" s="9"/>
      <c r="N131" s="23"/>
      <c r="O131" s="9"/>
      <c r="P131" s="22"/>
    </row>
    <row r="132" spans="1:22">
      <c r="A132" s="1"/>
      <c r="B132" s="1"/>
      <c r="C132" s="1"/>
      <c r="D132" s="1" t="s">
        <v>221</v>
      </c>
      <c r="E132" s="1"/>
      <c r="F132" s="1"/>
      <c r="G132" s="1"/>
      <c r="H132" s="22">
        <v>0</v>
      </c>
      <c r="I132" s="9"/>
      <c r="J132" s="22">
        <v>2000</v>
      </c>
      <c r="K132" s="9"/>
      <c r="L132" s="22">
        <v>0</v>
      </c>
      <c r="M132" s="9"/>
      <c r="N132" s="23">
        <f t="shared" ref="N132:N137" si="21">ROUND(IF(L132=0, IF(J132=0, 0, 1), J132/L132),5)</f>
        <v>1</v>
      </c>
      <c r="O132" s="9"/>
      <c r="P132" s="22">
        <v>0</v>
      </c>
    </row>
    <row r="133" spans="1:22">
      <c r="A133" s="1"/>
      <c r="B133" s="1"/>
      <c r="C133" s="1"/>
      <c r="D133" s="1" t="s">
        <v>222</v>
      </c>
      <c r="E133" s="1"/>
      <c r="F133" s="1"/>
      <c r="G133" s="1"/>
      <c r="H133" s="22">
        <v>0</v>
      </c>
      <c r="I133" s="9"/>
      <c r="J133" s="22">
        <v>0</v>
      </c>
      <c r="K133" s="9"/>
      <c r="L133" s="22">
        <v>0</v>
      </c>
      <c r="M133" s="9"/>
      <c r="N133" s="23">
        <f t="shared" si="21"/>
        <v>0</v>
      </c>
      <c r="O133" s="9"/>
      <c r="P133" s="22">
        <v>0</v>
      </c>
      <c r="V133" s="45"/>
    </row>
    <row r="134" spans="1:22" ht="15" thickBot="1">
      <c r="A134" s="1"/>
      <c r="B134" s="1"/>
      <c r="C134" s="1"/>
      <c r="D134" s="1" t="s">
        <v>223</v>
      </c>
      <c r="E134" s="1"/>
      <c r="F134" s="1"/>
      <c r="G134" s="1"/>
      <c r="H134" s="28">
        <v>0</v>
      </c>
      <c r="I134" s="9"/>
      <c r="J134" s="28">
        <v>-87640.47</v>
      </c>
      <c r="K134" s="9"/>
      <c r="L134" s="28">
        <v>0</v>
      </c>
      <c r="M134" s="9"/>
      <c r="N134" s="29">
        <f t="shared" si="21"/>
        <v>1</v>
      </c>
      <c r="O134" s="9"/>
      <c r="P134" s="28">
        <v>0</v>
      </c>
    </row>
    <row r="135" spans="1:22" ht="15" thickBot="1">
      <c r="A135" s="1"/>
      <c r="B135" s="1"/>
      <c r="C135" s="1" t="s">
        <v>224</v>
      </c>
      <c r="D135" s="1"/>
      <c r="E135" s="1"/>
      <c r="F135" s="1"/>
      <c r="G135" s="1"/>
      <c r="H135" s="43">
        <f>ROUND(SUM(H131:H134),5)</f>
        <v>0</v>
      </c>
      <c r="I135" s="9"/>
      <c r="J135" s="43">
        <f>ROUND(SUM(J131:J134),5)</f>
        <v>-85640.47</v>
      </c>
      <c r="K135" s="9"/>
      <c r="L135" s="43">
        <f>ROUND(SUM(L131:L134),5)</f>
        <v>0</v>
      </c>
      <c r="M135" s="9"/>
      <c r="N135" s="42">
        <f t="shared" si="21"/>
        <v>1</v>
      </c>
      <c r="O135" s="9"/>
      <c r="P135" s="43">
        <f>ROUND(SUM(P131:P134),5)</f>
        <v>0</v>
      </c>
    </row>
    <row r="136" spans="1:22" ht="15" thickBot="1">
      <c r="A136" s="1"/>
      <c r="B136" s="1" t="s">
        <v>225</v>
      </c>
      <c r="C136" s="1"/>
      <c r="D136" s="1"/>
      <c r="E136" s="1"/>
      <c r="F136" s="1"/>
      <c r="G136" s="1"/>
      <c r="H136" s="43">
        <f>ROUND(H130+H135,5)</f>
        <v>0</v>
      </c>
      <c r="I136" s="9"/>
      <c r="J136" s="43">
        <f>ROUND(J130+J135,5)</f>
        <v>-85640.47</v>
      </c>
      <c r="K136" s="9"/>
      <c r="L136" s="43">
        <f>ROUND(L130+L135,5)</f>
        <v>0</v>
      </c>
      <c r="M136" s="9"/>
      <c r="N136" s="42">
        <f t="shared" si="21"/>
        <v>1</v>
      </c>
      <c r="O136" s="9"/>
      <c r="P136" s="43">
        <f>ROUND(P130+P135,5)</f>
        <v>0</v>
      </c>
    </row>
    <row r="137" spans="1:22" s="15" customFormat="1" ht="10.8" thickBot="1">
      <c r="A137" s="1" t="s">
        <v>83</v>
      </c>
      <c r="B137" s="1"/>
      <c r="C137" s="1"/>
      <c r="D137" s="1"/>
      <c r="E137" s="1"/>
      <c r="F137" s="1"/>
      <c r="G137" s="1"/>
      <c r="H137" s="46">
        <f>ROUND(H129+H136,5)</f>
        <v>96898.71</v>
      </c>
      <c r="I137" s="1"/>
      <c r="J137" s="46">
        <f>ROUND(J129+J136,5)</f>
        <v>-15040.35</v>
      </c>
      <c r="K137" s="1"/>
      <c r="L137" s="46">
        <f>ROUND(L129+L136,5)</f>
        <v>26828</v>
      </c>
      <c r="M137" s="1"/>
      <c r="N137" s="47">
        <f t="shared" si="21"/>
        <v>-0.56062000000000001</v>
      </c>
      <c r="O137" s="1"/>
      <c r="P137" s="46">
        <f>ROUND(P129+P136,5)</f>
        <v>26828</v>
      </c>
    </row>
    <row r="138" spans="1:22" ht="15" thickTop="1"/>
  </sheetData>
  <pageMargins left="0.7" right="0.7" top="0.75" bottom="0.75" header="0.1" footer="0.3"/>
  <pageSetup scale="70" fitToHeight="4" orientation="landscape" r:id="rId1"/>
  <headerFooter>
    <oddHeader>&amp;L&amp;"Arial,Bold"&amp;8 4:58 PM
&amp;"Arial,Bold"&amp;8 07/15/16
&amp;"Arial,Bold"&amp;8 Accrual Basis&amp;C&amp;"Arial,Bold"&amp;12 ArtsWest
&amp;"Arial,Bold"&amp;14 Profit &amp;&amp; Loss Budget Performance
&amp;"Arial,Bold"&amp;10 June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N10" sqref="N10"/>
    </sheetView>
  </sheetViews>
  <sheetFormatPr defaultColWidth="8.88671875" defaultRowHeight="13.2"/>
  <cols>
    <col min="1" max="1" width="2.5546875" style="49" customWidth="1"/>
    <col min="2" max="2" width="2.6640625" style="49" customWidth="1"/>
    <col min="3" max="3" width="37.44140625" style="49" customWidth="1"/>
    <col min="4" max="4" width="12" style="50" hidden="1" customWidth="1"/>
    <col min="5" max="5" width="13.44140625" style="50" hidden="1" customWidth="1"/>
    <col min="6" max="6" width="12.33203125" style="50" bestFit="1" customWidth="1"/>
    <col min="7" max="7" width="12.88671875" style="50" customWidth="1"/>
    <col min="8" max="9" width="13.44140625" style="50" customWidth="1"/>
    <col min="10" max="10" width="13.88671875" style="49" bestFit="1" customWidth="1"/>
    <col min="11" max="11" width="16.5546875" style="49" customWidth="1"/>
    <col min="12" max="12" width="12.88671875" style="49" customWidth="1"/>
    <col min="13" max="16384" width="8.88671875" style="49"/>
  </cols>
  <sheetData>
    <row r="1" spans="1:13" ht="15">
      <c r="A1" s="48" t="s">
        <v>226</v>
      </c>
      <c r="D1" s="50" t="s">
        <v>227</v>
      </c>
      <c r="E1" s="50" t="s">
        <v>227</v>
      </c>
      <c r="J1" s="50"/>
      <c r="K1" s="50"/>
      <c r="L1" s="50"/>
    </row>
    <row r="2" spans="1:13" ht="15">
      <c r="A2" s="48" t="s">
        <v>228</v>
      </c>
      <c r="J2" s="50"/>
      <c r="K2" s="50"/>
      <c r="L2" s="50"/>
    </row>
    <row r="3" spans="1:13" ht="15.6">
      <c r="A3" s="51" t="s">
        <v>229</v>
      </c>
      <c r="B3" s="52"/>
      <c r="C3" s="52"/>
      <c r="D3" s="53" t="s">
        <v>230</v>
      </c>
      <c r="E3" s="54"/>
      <c r="F3" s="55"/>
      <c r="G3" s="55" t="s">
        <v>231</v>
      </c>
      <c r="H3" s="55" t="s">
        <v>231</v>
      </c>
      <c r="I3" s="55"/>
      <c r="J3" s="55"/>
      <c r="K3" s="55"/>
      <c r="L3" s="55"/>
    </row>
    <row r="4" spans="1:13" ht="15.6">
      <c r="D4" s="56" t="s">
        <v>232</v>
      </c>
      <c r="E4" s="56"/>
      <c r="F4" s="57" t="s">
        <v>233</v>
      </c>
      <c r="G4" s="58" t="s">
        <v>232</v>
      </c>
      <c r="H4" s="58" t="s">
        <v>234</v>
      </c>
      <c r="I4" s="58"/>
      <c r="J4" s="58"/>
      <c r="K4" s="55"/>
      <c r="L4" s="55"/>
    </row>
    <row r="5" spans="1:13" ht="15.6">
      <c r="D5" s="56" t="s">
        <v>235</v>
      </c>
      <c r="E5" s="53" t="s">
        <v>230</v>
      </c>
      <c r="F5" s="59">
        <v>42185</v>
      </c>
      <c r="G5" s="58" t="s">
        <v>235</v>
      </c>
      <c r="H5" s="60">
        <v>42490</v>
      </c>
      <c r="I5" s="58" t="s">
        <v>236</v>
      </c>
      <c r="J5" s="57" t="s">
        <v>237</v>
      </c>
      <c r="K5" s="57" t="s">
        <v>238</v>
      </c>
      <c r="L5" s="57" t="s">
        <v>238</v>
      </c>
      <c r="M5" s="61" t="s">
        <v>239</v>
      </c>
    </row>
    <row r="6" spans="1:13" ht="15.6">
      <c r="D6" s="62" t="s">
        <v>240</v>
      </c>
      <c r="E6" s="62" t="s">
        <v>241</v>
      </c>
      <c r="F6" s="63" t="s">
        <v>242</v>
      </c>
      <c r="G6" s="64" t="s">
        <v>240</v>
      </c>
      <c r="H6" s="64" t="s">
        <v>243</v>
      </c>
      <c r="I6" s="64" t="s">
        <v>244</v>
      </c>
      <c r="J6" s="63" t="s">
        <v>245</v>
      </c>
      <c r="K6" s="64" t="s">
        <v>246</v>
      </c>
      <c r="L6" s="64" t="s">
        <v>247</v>
      </c>
      <c r="M6" s="65" t="s">
        <v>248</v>
      </c>
    </row>
    <row r="7" spans="1:13">
      <c r="F7" s="66"/>
      <c r="H7" s="66"/>
      <c r="J7" s="67"/>
    </row>
    <row r="8" spans="1:13" ht="15">
      <c r="A8" s="48"/>
      <c r="B8" s="68" t="s">
        <v>110</v>
      </c>
      <c r="C8" s="68"/>
      <c r="D8" s="69"/>
      <c r="E8" s="70"/>
      <c r="F8" s="71"/>
      <c r="G8" s="69"/>
      <c r="H8" s="71"/>
      <c r="I8" s="70"/>
      <c r="J8" s="72"/>
      <c r="K8" s="70"/>
      <c r="L8" s="70"/>
    </row>
    <row r="9" spans="1:13" ht="15">
      <c r="A9" s="48"/>
      <c r="B9" s="68"/>
      <c r="C9" s="68" t="s">
        <v>111</v>
      </c>
      <c r="D9" s="73"/>
      <c r="E9" s="74"/>
      <c r="F9" s="75">
        <v>16394</v>
      </c>
      <c r="G9" s="73"/>
      <c r="H9" s="75">
        <v>19664</v>
      </c>
      <c r="I9" s="76">
        <f>H9+G9</f>
        <v>19664</v>
      </c>
      <c r="J9" s="77">
        <v>29000</v>
      </c>
      <c r="K9" s="76">
        <f t="shared" ref="K9:K18" si="0">I9-F9</f>
        <v>3270</v>
      </c>
      <c r="L9" s="78">
        <f>K9/F9</f>
        <v>0.19946321825057947</v>
      </c>
      <c r="M9" s="79">
        <f>SUM(I9/J9)</f>
        <v>0.67806896551724138</v>
      </c>
    </row>
    <row r="10" spans="1:13" ht="15">
      <c r="A10" s="48"/>
      <c r="B10" s="68"/>
      <c r="C10" s="68" t="s">
        <v>112</v>
      </c>
      <c r="D10" s="73">
        <f>12500+1697.47</f>
        <v>14197.47</v>
      </c>
      <c r="E10" s="74"/>
      <c r="F10" s="75">
        <v>44383</v>
      </c>
      <c r="G10" s="73"/>
      <c r="H10" s="75">
        <v>84491</v>
      </c>
      <c r="I10" s="76">
        <f t="shared" ref="I10:I18" si="1">H10+G10</f>
        <v>84491</v>
      </c>
      <c r="J10" s="77">
        <v>53220</v>
      </c>
      <c r="K10" s="76">
        <f>I10-F10</f>
        <v>40108</v>
      </c>
      <c r="L10" s="78">
        <f t="shared" ref="L10:L18" si="2">K10/F10</f>
        <v>0.90367933668296418</v>
      </c>
      <c r="M10" s="79">
        <f t="shared" ref="M10:M19" si="3">SUM(I10/J10)</f>
        <v>1.5875798571965427</v>
      </c>
    </row>
    <row r="11" spans="1:13" ht="15">
      <c r="A11" s="48"/>
      <c r="B11" s="68"/>
      <c r="C11" s="68" t="s">
        <v>113</v>
      </c>
      <c r="D11" s="73"/>
      <c r="E11" s="74"/>
      <c r="F11" s="75">
        <v>34147</v>
      </c>
      <c r="G11" s="73">
        <f>2641</f>
        <v>2641</v>
      </c>
      <c r="H11" s="75">
        <v>4111.18</v>
      </c>
      <c r="I11" s="76">
        <f t="shared" si="1"/>
        <v>6752.18</v>
      </c>
      <c r="J11" s="77">
        <v>41065</v>
      </c>
      <c r="K11" s="76">
        <f t="shared" si="0"/>
        <v>-27394.82</v>
      </c>
      <c r="L11" s="78">
        <f t="shared" si="2"/>
        <v>-0.80226139924444317</v>
      </c>
      <c r="M11" s="79">
        <f t="shared" si="3"/>
        <v>0.16442664069158652</v>
      </c>
    </row>
    <row r="12" spans="1:13" ht="15">
      <c r="A12" s="48"/>
      <c r="B12" s="68"/>
      <c r="C12" s="68" t="s">
        <v>114</v>
      </c>
      <c r="D12" s="73">
        <f>400+500+500</f>
        <v>1400</v>
      </c>
      <c r="E12" s="74">
        <v>82500</v>
      </c>
      <c r="F12" s="75">
        <v>18250</v>
      </c>
      <c r="G12" s="73"/>
      <c r="H12" s="75">
        <v>18287</v>
      </c>
      <c r="I12" s="76">
        <f t="shared" si="1"/>
        <v>18287</v>
      </c>
      <c r="J12" s="77">
        <v>22500</v>
      </c>
      <c r="K12" s="76">
        <f t="shared" si="0"/>
        <v>37</v>
      </c>
      <c r="L12" s="78">
        <f t="shared" si="2"/>
        <v>2.0273972602739727E-3</v>
      </c>
      <c r="M12" s="79">
        <f t="shared" si="3"/>
        <v>0.81275555555555556</v>
      </c>
    </row>
    <row r="13" spans="1:13" ht="15">
      <c r="A13" s="48"/>
      <c r="B13" s="68"/>
      <c r="C13" s="68" t="s">
        <v>115</v>
      </c>
      <c r="D13" s="73">
        <f>6878.64</f>
        <v>6878.64</v>
      </c>
      <c r="E13" s="74"/>
      <c r="F13" s="75">
        <v>199682</v>
      </c>
      <c r="G13" s="73">
        <f>10344+4000+70655</f>
        <v>84999</v>
      </c>
      <c r="H13" s="75">
        <v>81475</v>
      </c>
      <c r="I13" s="76">
        <f t="shared" si="1"/>
        <v>166474</v>
      </c>
      <c r="J13" s="77">
        <v>102270</v>
      </c>
      <c r="K13" s="76">
        <f t="shared" si="0"/>
        <v>-33208</v>
      </c>
      <c r="L13" s="78">
        <f t="shared" si="2"/>
        <v>-0.16630442403421439</v>
      </c>
      <c r="M13" s="79">
        <f t="shared" si="3"/>
        <v>1.6277891854893909</v>
      </c>
    </row>
    <row r="14" spans="1:13" ht="15">
      <c r="A14" s="48"/>
      <c r="B14" s="68"/>
      <c r="C14" s="68" t="s">
        <v>116</v>
      </c>
      <c r="D14" s="73"/>
      <c r="E14" s="74"/>
      <c r="F14" s="75">
        <v>10645</v>
      </c>
      <c r="G14" s="73"/>
      <c r="H14" s="75">
        <v>12531</v>
      </c>
      <c r="I14" s="76">
        <f t="shared" si="1"/>
        <v>12531</v>
      </c>
      <c r="J14" s="77">
        <v>12000</v>
      </c>
      <c r="K14" s="76">
        <f t="shared" si="0"/>
        <v>1886</v>
      </c>
      <c r="L14" s="78">
        <f t="shared" si="2"/>
        <v>0.17717238139971817</v>
      </c>
      <c r="M14" s="79">
        <f t="shared" si="3"/>
        <v>1.0442499999999999</v>
      </c>
    </row>
    <row r="15" spans="1:13" ht="15">
      <c r="A15" s="48"/>
      <c r="B15" s="68"/>
      <c r="C15" s="68" t="s">
        <v>117</v>
      </c>
      <c r="D15" s="73"/>
      <c r="E15" s="74">
        <v>910</v>
      </c>
      <c r="F15" s="75">
        <v>91</v>
      </c>
      <c r="G15" s="73"/>
      <c r="H15" s="75">
        <v>90.5</v>
      </c>
      <c r="I15" s="76">
        <f t="shared" si="1"/>
        <v>90.5</v>
      </c>
      <c r="J15" s="77">
        <v>0</v>
      </c>
      <c r="K15" s="76">
        <f t="shared" si="0"/>
        <v>-0.5</v>
      </c>
      <c r="L15" s="78">
        <f t="shared" si="2"/>
        <v>-5.4945054945054949E-3</v>
      </c>
      <c r="M15" s="79"/>
    </row>
    <row r="16" spans="1:13" ht="15">
      <c r="A16" s="48"/>
      <c r="B16" s="68"/>
      <c r="C16" s="68" t="s">
        <v>118</v>
      </c>
      <c r="D16" s="73"/>
      <c r="E16" s="74"/>
      <c r="F16" s="75">
        <v>57728</v>
      </c>
      <c r="G16" s="73"/>
      <c r="H16" s="80">
        <v>157758</v>
      </c>
      <c r="I16" s="76">
        <f t="shared" si="1"/>
        <v>157758</v>
      </c>
      <c r="J16" s="77">
        <v>65100</v>
      </c>
      <c r="K16" s="76">
        <f t="shared" si="0"/>
        <v>100030</v>
      </c>
      <c r="L16" s="78">
        <f t="shared" si="2"/>
        <v>1.7327813192904655</v>
      </c>
      <c r="M16" s="79">
        <f t="shared" si="3"/>
        <v>2.4233179723502305</v>
      </c>
    </row>
    <row r="17" spans="1:13" ht="15">
      <c r="A17" s="48"/>
      <c r="B17" s="68"/>
      <c r="C17" s="68" t="s">
        <v>119</v>
      </c>
      <c r="D17" s="73"/>
      <c r="E17" s="74"/>
      <c r="F17" s="75">
        <v>66332</v>
      </c>
      <c r="G17" s="73"/>
      <c r="H17" s="75">
        <v>0</v>
      </c>
      <c r="I17" s="76">
        <f t="shared" si="1"/>
        <v>0</v>
      </c>
      <c r="J17" s="77">
        <v>160000</v>
      </c>
      <c r="K17" s="76">
        <f t="shared" si="0"/>
        <v>-66332</v>
      </c>
      <c r="L17" s="78">
        <f t="shared" si="2"/>
        <v>-1</v>
      </c>
      <c r="M17" s="79">
        <f t="shared" si="3"/>
        <v>0</v>
      </c>
    </row>
    <row r="18" spans="1:13" ht="15">
      <c r="A18" s="48"/>
      <c r="B18" s="68"/>
      <c r="C18" s="68" t="s">
        <v>120</v>
      </c>
      <c r="D18" s="81"/>
      <c r="E18" s="81">
        <v>5540</v>
      </c>
      <c r="F18" s="82">
        <v>48173</v>
      </c>
      <c r="G18" s="81"/>
      <c r="H18" s="82">
        <v>6517</v>
      </c>
      <c r="I18" s="83">
        <f t="shared" si="1"/>
        <v>6517</v>
      </c>
      <c r="J18" s="84">
        <v>0</v>
      </c>
      <c r="K18" s="85">
        <f t="shared" si="0"/>
        <v>-41656</v>
      </c>
      <c r="L18" s="78">
        <f t="shared" si="2"/>
        <v>-0.86471675004670667</v>
      </c>
      <c r="M18" s="79"/>
    </row>
    <row r="19" spans="1:13" ht="15">
      <c r="A19" s="48"/>
      <c r="B19" s="68" t="s">
        <v>121</v>
      </c>
      <c r="C19" s="68"/>
      <c r="D19" s="73">
        <f t="shared" ref="D19:E19" si="4">SUM(D9:D18)</f>
        <v>22476.11</v>
      </c>
      <c r="E19" s="73">
        <f t="shared" si="4"/>
        <v>88950</v>
      </c>
      <c r="F19" s="86">
        <f>SUM(F9:F18)</f>
        <v>495825</v>
      </c>
      <c r="G19" s="87">
        <f t="shared" ref="G19" si="5">SUM(G9:G18)</f>
        <v>87640</v>
      </c>
      <c r="H19" s="86">
        <f>SUM(H9:H18)</f>
        <v>384924.68</v>
      </c>
      <c r="I19" s="87">
        <f>SUM(I9:I18)</f>
        <v>472564.68</v>
      </c>
      <c r="J19" s="88">
        <f>ROUND(SUM(J8:J18),5)</f>
        <v>485155</v>
      </c>
      <c r="K19" s="87">
        <f>ROUND(SUM(K8:K18),5)</f>
        <v>-23260.32</v>
      </c>
      <c r="L19" s="89"/>
      <c r="M19" s="79">
        <f t="shared" si="3"/>
        <v>0.97404887097937776</v>
      </c>
    </row>
    <row r="21" spans="1:13">
      <c r="C21" s="90" t="s">
        <v>249</v>
      </c>
      <c r="D21" s="91"/>
      <c r="E21" s="91"/>
      <c r="F21" s="91"/>
      <c r="G21" s="91"/>
      <c r="H21" s="91"/>
      <c r="I21" s="91"/>
      <c r="J21" s="92"/>
    </row>
    <row r="22" spans="1:13">
      <c r="J22" s="93" t="s">
        <v>250</v>
      </c>
      <c r="K22" s="93"/>
    </row>
  </sheetData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N10" sqref="N10"/>
    </sheetView>
  </sheetViews>
  <sheetFormatPr defaultColWidth="9.109375" defaultRowHeight="13.2"/>
  <cols>
    <col min="1" max="1" width="18.33203125" style="95" customWidth="1"/>
    <col min="2" max="2" width="6.6640625" style="95" customWidth="1"/>
    <col min="3" max="3" width="9.44140625" style="95" customWidth="1"/>
    <col min="4" max="4" width="9.88671875" style="95" customWidth="1"/>
    <col min="5" max="5" width="10.44140625" style="95" customWidth="1"/>
    <col min="6" max="6" width="2.33203125" style="95" customWidth="1"/>
    <col min="7" max="7" width="12" style="95" customWidth="1"/>
    <col min="8" max="8" width="13.6640625" style="95" customWidth="1"/>
    <col min="9" max="9" width="11.33203125" style="95" customWidth="1"/>
    <col min="10" max="10" width="12.109375" style="95" customWidth="1"/>
    <col min="11" max="16384" width="9.109375" style="95"/>
  </cols>
  <sheetData>
    <row r="1" spans="1:17" ht="15.75" customHeight="1">
      <c r="A1" s="94" t="s">
        <v>226</v>
      </c>
      <c r="B1" s="94"/>
    </row>
    <row r="2" spans="1:17" ht="15.75" customHeight="1">
      <c r="A2" s="94" t="s">
        <v>251</v>
      </c>
      <c r="B2" s="94"/>
      <c r="C2" s="96"/>
    </row>
    <row r="3" spans="1:17" ht="15.6">
      <c r="A3" s="97">
        <v>42551</v>
      </c>
      <c r="B3" s="97"/>
    </row>
    <row r="5" spans="1:17" ht="13.8">
      <c r="A5" s="98"/>
      <c r="B5" s="99" t="s">
        <v>252</v>
      </c>
      <c r="C5" s="99" t="s">
        <v>253</v>
      </c>
      <c r="D5" s="99" t="s">
        <v>237</v>
      </c>
      <c r="E5" s="99" t="s">
        <v>239</v>
      </c>
      <c r="F5" s="99"/>
      <c r="G5" s="99" t="s">
        <v>253</v>
      </c>
      <c r="H5" s="99" t="s">
        <v>237</v>
      </c>
      <c r="I5" s="99" t="s">
        <v>239</v>
      </c>
      <c r="J5" s="100" t="s">
        <v>253</v>
      </c>
    </row>
    <row r="6" spans="1:17" ht="13.8">
      <c r="A6" s="98"/>
      <c r="B6" s="101" t="s">
        <v>254</v>
      </c>
      <c r="C6" s="101" t="s">
        <v>255</v>
      </c>
      <c r="D6" s="101" t="s">
        <v>255</v>
      </c>
      <c r="E6" s="101" t="s">
        <v>237</v>
      </c>
      <c r="F6" s="101"/>
      <c r="G6" s="101" t="s">
        <v>256</v>
      </c>
      <c r="H6" s="101" t="s">
        <v>256</v>
      </c>
      <c r="I6" s="101" t="s">
        <v>257</v>
      </c>
      <c r="J6" s="102" t="s">
        <v>258</v>
      </c>
    </row>
    <row r="7" spans="1:17" ht="15.6">
      <c r="A7" s="103" t="s">
        <v>259</v>
      </c>
      <c r="B7" s="104"/>
      <c r="C7" s="98"/>
      <c r="D7" s="98"/>
      <c r="E7" s="98"/>
      <c r="F7" s="98"/>
      <c r="G7" s="98"/>
      <c r="H7" s="105"/>
      <c r="I7" s="98"/>
      <c r="J7" s="98"/>
    </row>
    <row r="8" spans="1:17" ht="13.8">
      <c r="A8" s="106" t="s">
        <v>260</v>
      </c>
      <c r="B8" s="107">
        <v>33</v>
      </c>
      <c r="C8" s="108">
        <v>4097</v>
      </c>
      <c r="D8" s="108">
        <v>2750</v>
      </c>
      <c r="E8" s="109">
        <f t="shared" ref="E8:E13" si="0">SUM(C8/D8)</f>
        <v>1.4898181818181817</v>
      </c>
      <c r="F8" s="110"/>
      <c r="G8" s="111">
        <v>89384</v>
      </c>
      <c r="H8" s="111">
        <v>68750</v>
      </c>
      <c r="I8" s="112">
        <f t="shared" ref="I8:I13" si="1">SUM(G8/H8)</f>
        <v>1.300130909090909</v>
      </c>
      <c r="J8" s="113">
        <f t="shared" ref="J8:J13" si="2">SUM(G8/C8)</f>
        <v>21.81693922382231</v>
      </c>
    </row>
    <row r="9" spans="1:17" ht="13.8">
      <c r="A9" s="106" t="s">
        <v>261</v>
      </c>
      <c r="B9" s="107">
        <v>20</v>
      </c>
      <c r="C9" s="108">
        <v>1203</v>
      </c>
      <c r="D9" s="108">
        <v>1500</v>
      </c>
      <c r="E9" s="109">
        <f t="shared" si="0"/>
        <v>0.80200000000000005</v>
      </c>
      <c r="F9" s="110"/>
      <c r="G9" s="111">
        <v>20554</v>
      </c>
      <c r="H9" s="111">
        <v>31500</v>
      </c>
      <c r="I9" s="112">
        <f t="shared" si="1"/>
        <v>0.65250793650793648</v>
      </c>
      <c r="J9" s="113">
        <f t="shared" si="2"/>
        <v>17.085619285120533</v>
      </c>
    </row>
    <row r="10" spans="1:17" ht="13.8">
      <c r="A10" s="106" t="s">
        <v>262</v>
      </c>
      <c r="B10" s="107">
        <v>20</v>
      </c>
      <c r="C10" s="108">
        <v>1190</v>
      </c>
      <c r="D10" s="108">
        <v>2000</v>
      </c>
      <c r="E10" s="109">
        <f t="shared" si="0"/>
        <v>0.59499999999999997</v>
      </c>
      <c r="F10" s="110"/>
      <c r="G10" s="111">
        <v>26226</v>
      </c>
      <c r="H10" s="111">
        <v>50000</v>
      </c>
      <c r="I10" s="112">
        <f t="shared" si="1"/>
        <v>0.52451999999999999</v>
      </c>
      <c r="J10" s="113">
        <f t="shared" si="2"/>
        <v>22.038655462184874</v>
      </c>
    </row>
    <row r="11" spans="1:17" ht="13.8">
      <c r="A11" s="106" t="s">
        <v>263</v>
      </c>
      <c r="B11" s="107">
        <v>20</v>
      </c>
      <c r="C11" s="108">
        <v>1081</v>
      </c>
      <c r="D11" s="108">
        <v>1500</v>
      </c>
      <c r="E11" s="109">
        <f t="shared" si="0"/>
        <v>0.72066666666666668</v>
      </c>
      <c r="F11" s="110"/>
      <c r="G11" s="111">
        <v>21210</v>
      </c>
      <c r="H11" s="111">
        <v>30000</v>
      </c>
      <c r="I11" s="112">
        <f t="shared" si="1"/>
        <v>0.70699999999999996</v>
      </c>
      <c r="J11" s="113">
        <f t="shared" si="2"/>
        <v>19.62072155411656</v>
      </c>
    </row>
    <row r="12" spans="1:17" ht="13.8">
      <c r="A12" s="106" t="s">
        <v>264</v>
      </c>
      <c r="B12" s="107">
        <v>25</v>
      </c>
      <c r="C12" s="108">
        <v>2100</v>
      </c>
      <c r="D12" s="108">
        <v>2100</v>
      </c>
      <c r="E12" s="109">
        <f t="shared" si="0"/>
        <v>1</v>
      </c>
      <c r="F12" s="110"/>
      <c r="G12" s="111">
        <v>44186</v>
      </c>
      <c r="H12" s="111">
        <v>52500</v>
      </c>
      <c r="I12" s="112">
        <f t="shared" si="1"/>
        <v>0.84163809523809519</v>
      </c>
      <c r="J12" s="113">
        <f t="shared" si="2"/>
        <v>21.04095238095238</v>
      </c>
      <c r="K12" s="95" t="s">
        <v>265</v>
      </c>
    </row>
    <row r="13" spans="1:17" ht="13.8">
      <c r="A13" s="106" t="s">
        <v>266</v>
      </c>
      <c r="B13" s="107">
        <v>25</v>
      </c>
      <c r="C13" s="108">
        <v>2019</v>
      </c>
      <c r="D13" s="108">
        <v>2100</v>
      </c>
      <c r="E13" s="109">
        <f t="shared" si="0"/>
        <v>0.96142857142857141</v>
      </c>
      <c r="F13" s="110"/>
      <c r="G13" s="111">
        <v>41981</v>
      </c>
      <c r="H13" s="111">
        <v>44100</v>
      </c>
      <c r="I13" s="112">
        <f t="shared" si="1"/>
        <v>0.95195011337868485</v>
      </c>
      <c r="J13" s="113">
        <f t="shared" si="2"/>
        <v>20.792966815255078</v>
      </c>
      <c r="K13" s="95" t="s">
        <v>267</v>
      </c>
    </row>
    <row r="14" spans="1:17" ht="13.8">
      <c r="A14" s="98"/>
      <c r="B14" s="114"/>
      <c r="C14" s="108"/>
      <c r="D14" s="108"/>
      <c r="E14" s="115"/>
      <c r="F14" s="115"/>
      <c r="G14" s="111"/>
      <c r="H14" s="111"/>
      <c r="I14" s="98"/>
      <c r="J14" s="113"/>
    </row>
    <row r="15" spans="1:17" ht="14.4" thickBot="1">
      <c r="A15" s="116" t="s">
        <v>268</v>
      </c>
      <c r="B15" s="117">
        <f>SUM(B8:B14)</f>
        <v>143</v>
      </c>
      <c r="C15" s="118">
        <f>SUM(C8:C13)</f>
        <v>11690</v>
      </c>
      <c r="D15" s="118">
        <f>SUM(D8:D13)</f>
        <v>11950</v>
      </c>
      <c r="E15" s="109">
        <f>SUM(C15/D15)</f>
        <v>0.97824267782426777</v>
      </c>
      <c r="F15" s="119"/>
      <c r="G15" s="120">
        <f>SUM(G8:G14)</f>
        <v>243541</v>
      </c>
      <c r="H15" s="120">
        <f>SUM(H8:H13)</f>
        <v>276850</v>
      </c>
      <c r="I15" s="121">
        <f>SUM(G15/H15)</f>
        <v>0.87968575040635721</v>
      </c>
      <c r="J15" s="122">
        <f>SUM(G15/C15)</f>
        <v>20.83327630453379</v>
      </c>
      <c r="K15" s="123"/>
      <c r="L15" s="123"/>
      <c r="M15" s="123"/>
      <c r="N15" s="123"/>
      <c r="O15" s="123"/>
      <c r="P15" s="123"/>
      <c r="Q15" s="123"/>
    </row>
    <row r="16" spans="1:17" ht="14.4" thickTop="1">
      <c r="A16" s="116"/>
      <c r="B16" s="124"/>
      <c r="C16" s="125"/>
      <c r="D16" s="125"/>
      <c r="E16" s="109"/>
      <c r="F16" s="119"/>
      <c r="G16" s="126"/>
      <c r="H16" s="126"/>
      <c r="I16" s="112"/>
      <c r="J16" s="122"/>
      <c r="K16" s="123"/>
      <c r="L16" s="123"/>
      <c r="M16" s="123"/>
      <c r="N16" s="123"/>
    </row>
    <row r="17" spans="1:10" ht="3" customHeight="1">
      <c r="A17" s="127"/>
      <c r="B17" s="104"/>
      <c r="C17" s="98"/>
      <c r="D17" s="98"/>
      <c r="E17" s="109"/>
      <c r="F17" s="115"/>
      <c r="G17" s="111"/>
      <c r="H17" s="111"/>
      <c r="I17" s="112"/>
      <c r="J17" s="122"/>
    </row>
    <row r="18" spans="1:10" ht="13.8">
      <c r="A18" s="127" t="s">
        <v>269</v>
      </c>
      <c r="B18" s="104"/>
      <c r="C18" s="98">
        <v>558</v>
      </c>
      <c r="D18" s="108">
        <v>510</v>
      </c>
      <c r="E18" s="109">
        <f>SUM(C18/D18)</f>
        <v>1.0941176470588236</v>
      </c>
      <c r="F18" s="115"/>
      <c r="G18" s="111">
        <v>79082</v>
      </c>
      <c r="H18" s="111">
        <v>73355</v>
      </c>
      <c r="I18" s="112">
        <f>SUM(G18/H18)</f>
        <v>1.0780723877036331</v>
      </c>
      <c r="J18" s="122">
        <f>SUM(G18/C18)</f>
        <v>141.72401433691758</v>
      </c>
    </row>
    <row r="19" spans="1:10" ht="13.8">
      <c r="A19" s="127" t="s">
        <v>270</v>
      </c>
      <c r="B19" s="104"/>
      <c r="C19" s="98">
        <v>29</v>
      </c>
      <c r="D19" s="108">
        <v>15</v>
      </c>
      <c r="E19" s="109">
        <f>SUM(C19/D19)</f>
        <v>1.9333333333333333</v>
      </c>
      <c r="F19" s="115"/>
      <c r="G19" s="111">
        <v>8670</v>
      </c>
      <c r="H19" s="111">
        <v>4500</v>
      </c>
      <c r="I19" s="112">
        <f>SUM(G19/H19)</f>
        <v>1.9266666666666667</v>
      </c>
      <c r="J19" s="122">
        <f>SUM(G19/C19)</f>
        <v>298.9655172413793</v>
      </c>
    </row>
    <row r="20" spans="1:10" ht="13.8">
      <c r="A20" s="127"/>
      <c r="B20" s="104"/>
      <c r="C20" s="98"/>
      <c r="D20" s="108"/>
      <c r="E20" s="109"/>
      <c r="F20" s="115"/>
      <c r="G20" s="111"/>
      <c r="H20" s="111"/>
      <c r="I20" s="112"/>
      <c r="J20" s="122"/>
    </row>
    <row r="21" spans="1:10" ht="14.4" thickBot="1">
      <c r="A21" s="116" t="s">
        <v>271</v>
      </c>
      <c r="B21" s="124"/>
      <c r="C21" s="118">
        <f>SUM(C18:C19)</f>
        <v>587</v>
      </c>
      <c r="D21" s="118">
        <f>SUM(D18:D19)</f>
        <v>525</v>
      </c>
      <c r="E21" s="128">
        <f>SUM(C21/D21)</f>
        <v>1.118095238095238</v>
      </c>
      <c r="F21" s="129"/>
      <c r="G21" s="120">
        <f>SUM(G18:G19)</f>
        <v>87752</v>
      </c>
      <c r="H21" s="120">
        <f>SUM(H18:H20)</f>
        <v>77855</v>
      </c>
      <c r="I21" s="130">
        <f>G21/H21</f>
        <v>1.1271209299338514</v>
      </c>
      <c r="J21" s="122">
        <f>SUM(G21/C21)</f>
        <v>149.4923339011925</v>
      </c>
    </row>
    <row r="22" spans="1:10" ht="14.4" thickTop="1">
      <c r="A22" s="98"/>
      <c r="B22" s="98"/>
      <c r="C22" s="98"/>
      <c r="D22" s="98"/>
      <c r="E22" s="98"/>
      <c r="F22" s="98"/>
      <c r="G22" s="98"/>
      <c r="H22" s="98"/>
      <c r="I22" s="130"/>
      <c r="J22" s="98"/>
    </row>
    <row r="23" spans="1:10" ht="13.8">
      <c r="A23" s="98"/>
      <c r="B23" s="98"/>
      <c r="C23" s="98"/>
      <c r="D23" s="98"/>
      <c r="E23" s="98"/>
      <c r="F23" s="98"/>
      <c r="G23" s="131">
        <f>SUM(G21,G15)</f>
        <v>331293</v>
      </c>
      <c r="H23" s="131">
        <f>SUM(H21,H15)</f>
        <v>354705</v>
      </c>
      <c r="I23" s="130">
        <f t="shared" ref="I23" si="3">G23/H23</f>
        <v>0.9339958557110839</v>
      </c>
      <c r="J23" s="98"/>
    </row>
    <row r="24" spans="1:10" ht="14.4" thickBot="1">
      <c r="A24" s="98"/>
      <c r="B24" s="98"/>
      <c r="C24" s="98"/>
      <c r="D24" s="98"/>
      <c r="E24" s="98"/>
      <c r="F24" s="98"/>
      <c r="G24" s="132" t="s">
        <v>253</v>
      </c>
      <c r="H24" s="132" t="s">
        <v>237</v>
      </c>
      <c r="I24" s="98"/>
      <c r="J24" s="98"/>
    </row>
    <row r="25" spans="1:10" ht="14.4" thickTop="1">
      <c r="A25" s="98"/>
      <c r="B25" s="98"/>
      <c r="C25" s="98"/>
      <c r="D25" s="98"/>
      <c r="E25" s="98"/>
      <c r="F25" s="98"/>
      <c r="G25" s="98"/>
      <c r="H25" s="98"/>
      <c r="I25" s="98"/>
      <c r="J25" s="98"/>
    </row>
    <row r="26" spans="1:10" ht="13.8">
      <c r="A26" s="98"/>
      <c r="B26" s="98"/>
      <c r="C26" s="98"/>
      <c r="D26" s="98"/>
      <c r="E26" s="98"/>
      <c r="F26" s="98"/>
      <c r="G26" s="98"/>
      <c r="H26" s="98"/>
      <c r="I26" s="98"/>
      <c r="J26" s="98"/>
    </row>
    <row r="27" spans="1:10" ht="13.8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10" ht="13.8">
      <c r="A28" s="98"/>
      <c r="B28" s="98"/>
      <c r="C28" s="98"/>
      <c r="D28" s="98"/>
      <c r="E28" s="98"/>
      <c r="F28" s="98"/>
      <c r="G28" s="98"/>
      <c r="H28" s="98"/>
      <c r="I28" s="98"/>
      <c r="J28" s="98"/>
    </row>
  </sheetData>
  <printOptions gridLines="1"/>
  <pageMargins left="0.75" right="0.75" top="1" bottom="1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Balance YOY</vt:lpstr>
      <vt:lpstr>P&amp;L - Budg to Actual</vt:lpstr>
      <vt:lpstr>Contributed Revenue</vt:lpstr>
      <vt:lpstr>Ticket Sales</vt:lpstr>
      <vt:lpstr>'Ticket Sales'!Print_Area</vt:lpstr>
      <vt:lpstr>'Balance YOY'!Print_Titles</vt:lpstr>
      <vt:lpstr>'P&amp;L - Budg to Actual'!Print_Titles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</dc:creator>
  <cp:lastModifiedBy>Laura L</cp:lastModifiedBy>
  <dcterms:created xsi:type="dcterms:W3CDTF">2016-07-23T00:40:02Z</dcterms:created>
  <dcterms:modified xsi:type="dcterms:W3CDTF">2016-07-23T00:42:29Z</dcterms:modified>
</cp:coreProperties>
</file>